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9"/>
  <workbookPr defaultThemeVersion="124226"/>
  <xr:revisionPtr revIDLastSave="0" documentId="8_{D1C4EB4E-0892-48F6-A8D9-B0BAAB9DF066}" xr6:coauthVersionLast="47" xr6:coauthVersionMax="47" xr10:uidLastSave="{00000000-0000-0000-0000-000000000000}"/>
  <bookViews>
    <workbookView xWindow="-38520" yWindow="-120" windowWidth="45840" windowHeight="13740" tabRatio="866" firstSheet="1" activeTab="1" xr2:uid="{00000000-000D-0000-FFFF-FFFF00000000}"/>
  </bookViews>
  <sheets>
    <sheet name="ANEXO II - FORM PROPOSTA PREÇO" sheetId="39" r:id="rId1"/>
    <sheet name="1 - Assistente de M. de Veículo" sheetId="33" r:id="rId2"/>
    <sheet name="2 - Motorista 1 - Automóvel" sheetId="35" r:id="rId3"/>
    <sheet name="3 - Motorista  Micro-ônibus" sheetId="41" r:id="rId4"/>
    <sheet name="4 - Motorista M. Ônibus Noturno" sheetId="45" r:id="rId5"/>
    <sheet name="5 - Motorista de Ônibus" sheetId="43" r:id="rId6"/>
    <sheet name="6 - Supervisor" sheetId="37" r:id="rId7"/>
    <sheet name="1 - HE - A. Manutenção" sheetId="34" r:id="rId8"/>
    <sheet name="2 - HE - Motorista 1 - Auto" sheetId="36" r:id="rId9"/>
    <sheet name="3 - HE - Mot. 2 - Mic. ônibus" sheetId="42" r:id="rId10"/>
    <sheet name="4 - HE - M. Micro Noturno" sheetId="46" r:id="rId11"/>
    <sheet name="5 - HE - Motorista de Ônibus" sheetId="44" r:id="rId12"/>
    <sheet name="6 - HE - Supervisor" sheetId="38" r:id="rId13"/>
    <sheet name="UNIFORMES_EQUIPAMENTOS" sheetId="40" r:id="rId14"/>
    <sheet name="Plan1" sheetId="47" r:id="rId15"/>
  </sheets>
  <definedNames>
    <definedName name="_xlnm.Print_Area" localSheetId="1">'1 - Assistente de M. de Veículo'!$A$1:$I$107</definedName>
    <definedName name="_xlnm.Print_Area" localSheetId="7">'1 - HE - A. Manutenção'!$A$1:$I$70</definedName>
    <definedName name="_xlnm.Print_Area" localSheetId="8">'2 - HE - Motorista 1 - Auto'!$A$1:$I$73</definedName>
    <definedName name="_xlnm.Print_Area" localSheetId="2">'2 - Motorista 1 - Automóvel'!$B$1:$I$109</definedName>
    <definedName name="_xlnm.Print_Area" localSheetId="12">'6 - HE - Supervisor'!$A$1:$I$73</definedName>
    <definedName name="_xlnm.Print_Area" localSheetId="6">'6 - Supervisor'!$A$1:$I$105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8" l="1"/>
  <c r="I8" i="34"/>
  <c r="C30" i="40"/>
  <c r="I16" i="33"/>
  <c r="H61" i="38"/>
  <c r="H60" i="44"/>
  <c r="H61" i="46"/>
  <c r="H60" i="42"/>
  <c r="H60" i="36"/>
  <c r="H58" i="34"/>
  <c r="H93" i="37"/>
  <c r="H86" i="37"/>
  <c r="H92" i="43"/>
  <c r="H85" i="43"/>
  <c r="H94" i="45"/>
  <c r="H87" i="45"/>
  <c r="H92" i="41"/>
  <c r="H85" i="41"/>
  <c r="H92" i="35"/>
  <c r="H85" i="35"/>
  <c r="I75" i="33"/>
  <c r="I14" i="34"/>
  <c r="H93" i="33"/>
  <c r="H86" i="33"/>
  <c r="I57" i="33" l="1"/>
  <c r="I73" i="33"/>
  <c r="I73" i="37"/>
  <c r="I72" i="43"/>
  <c r="I74" i="45"/>
  <c r="I72" i="41"/>
  <c r="I72" i="35"/>
  <c r="C31" i="40" l="1"/>
  <c r="C26" i="39" l="1"/>
  <c r="I56" i="41"/>
  <c r="I57" i="37"/>
  <c r="I56" i="43"/>
  <c r="I58" i="45"/>
  <c r="I56" i="35"/>
  <c r="I17" i="37"/>
  <c r="I13" i="34"/>
  <c r="I74" i="37"/>
  <c r="D34" i="40"/>
  <c r="D35" i="40" s="1"/>
  <c r="H29" i="40" s="1"/>
  <c r="H65" i="33" s="1"/>
  <c r="D17" i="40"/>
  <c r="D15" i="40"/>
  <c r="D13" i="40"/>
  <c r="D11" i="40"/>
  <c r="D9" i="40"/>
  <c r="D7" i="40"/>
  <c r="D8" i="40"/>
  <c r="D10" i="40"/>
  <c r="D12" i="40"/>
  <c r="D14" i="40"/>
  <c r="D16" i="40"/>
  <c r="D18" i="40"/>
  <c r="I13" i="40"/>
  <c r="I12" i="40"/>
  <c r="I11" i="40"/>
  <c r="I10" i="40"/>
  <c r="I9" i="40"/>
  <c r="I8" i="40"/>
  <c r="I7" i="40"/>
  <c r="C19" i="40" l="1"/>
  <c r="H14" i="40"/>
  <c r="H15" i="40" s="1"/>
  <c r="I15" i="34"/>
  <c r="I16" i="34" s="1"/>
  <c r="I16" i="41"/>
  <c r="I16" i="35"/>
  <c r="I75" i="35"/>
  <c r="I74" i="35"/>
  <c r="I73" i="35"/>
  <c r="I76" i="37"/>
  <c r="I75" i="37"/>
  <c r="I76" i="33"/>
  <c r="I74" i="33"/>
  <c r="I75" i="43"/>
  <c r="I74" i="43"/>
  <c r="I73" i="43"/>
  <c r="I77" i="45"/>
  <c r="I76" i="45"/>
  <c r="I75" i="45"/>
  <c r="I75" i="41"/>
  <c r="I74" i="41"/>
  <c r="I73" i="41"/>
  <c r="H39" i="38"/>
  <c r="H40" i="38" s="1"/>
  <c r="H37" i="38"/>
  <c r="H38" i="38" s="1"/>
  <c r="H31" i="38"/>
  <c r="H39" i="34"/>
  <c r="H37" i="34"/>
  <c r="H38" i="34" s="1"/>
  <c r="H31" i="34"/>
  <c r="H38" i="44"/>
  <c r="H36" i="44"/>
  <c r="H37" i="44" s="1"/>
  <c r="H30" i="44"/>
  <c r="H39" i="46"/>
  <c r="H37" i="46"/>
  <c r="H38" i="46" s="1"/>
  <c r="H31" i="46"/>
  <c r="H38" i="42"/>
  <c r="H36" i="42"/>
  <c r="H37" i="42" s="1"/>
  <c r="H30" i="42"/>
  <c r="H38" i="36"/>
  <c r="H36" i="36"/>
  <c r="H37" i="36" s="1"/>
  <c r="H30" i="36"/>
  <c r="H65" i="37" l="1"/>
  <c r="I65" i="37" s="1"/>
  <c r="H64" i="33"/>
  <c r="H66" i="45"/>
  <c r="I66" i="45" s="1"/>
  <c r="H64" i="43"/>
  <c r="I64" i="43" s="1"/>
  <c r="H64" i="35"/>
  <c r="I64" i="35" s="1"/>
  <c r="H64" i="41"/>
  <c r="I64" i="41" s="1"/>
  <c r="I65" i="33"/>
  <c r="I64" i="33"/>
  <c r="H40" i="37"/>
  <c r="H38" i="37"/>
  <c r="H39" i="37" s="1"/>
  <c r="H32" i="37"/>
  <c r="H40" i="33"/>
  <c r="H38" i="33"/>
  <c r="H39" i="33" s="1"/>
  <c r="H32" i="33"/>
  <c r="H39" i="43"/>
  <c r="H37" i="43"/>
  <c r="H38" i="43" s="1"/>
  <c r="H31" i="43"/>
  <c r="H41" i="45"/>
  <c r="H39" i="45"/>
  <c r="H40" i="45" s="1"/>
  <c r="H33" i="45"/>
  <c r="H39" i="41" l="1"/>
  <c r="H37" i="41"/>
  <c r="H38" i="41" s="1"/>
  <c r="H31" i="41"/>
  <c r="H39" i="35" l="1"/>
  <c r="H37" i="35"/>
  <c r="H38" i="35" s="1"/>
  <c r="H31" i="35"/>
  <c r="I9" i="38" l="1"/>
  <c r="I8" i="44"/>
  <c r="I8" i="46"/>
  <c r="I8" i="42"/>
  <c r="H26" i="46" l="1"/>
  <c r="H28" i="46" s="1"/>
  <c r="H40" i="46" s="1"/>
  <c r="I13" i="46"/>
  <c r="H28" i="45"/>
  <c r="H30" i="45" s="1"/>
  <c r="I16" i="45"/>
  <c r="I14" i="38"/>
  <c r="H25" i="44"/>
  <c r="H27" i="44" s="1"/>
  <c r="H39" i="44" s="1"/>
  <c r="I13" i="44"/>
  <c r="H26" i="43"/>
  <c r="H28" i="43" s="1"/>
  <c r="I16" i="43"/>
  <c r="H25" i="42"/>
  <c r="H27" i="42" s="1"/>
  <c r="H39" i="42" s="1"/>
  <c r="I13" i="42"/>
  <c r="H26" i="41"/>
  <c r="H28" i="41" s="1"/>
  <c r="I14" i="44" l="1"/>
  <c r="I38" i="44"/>
  <c r="I17" i="45"/>
  <c r="I18" i="45" s="1"/>
  <c r="H32" i="44"/>
  <c r="H33" i="44" s="1"/>
  <c r="H33" i="46"/>
  <c r="H34" i="46" s="1"/>
  <c r="H32" i="42"/>
  <c r="H33" i="42" s="1"/>
  <c r="H33" i="43"/>
  <c r="H40" i="43"/>
  <c r="H35" i="45"/>
  <c r="H36" i="45" s="1"/>
  <c r="H42" i="45"/>
  <c r="I42" i="45" s="1"/>
  <c r="H33" i="41"/>
  <c r="H34" i="41" s="1"/>
  <c r="H40" i="41"/>
  <c r="I17" i="43"/>
  <c r="I76" i="41"/>
  <c r="I22" i="39" s="1"/>
  <c r="H22" i="39" s="1"/>
  <c r="I43" i="45"/>
  <c r="I40" i="45"/>
  <c r="I41" i="45"/>
  <c r="I39" i="45"/>
  <c r="H42" i="46"/>
  <c r="I14" i="46"/>
  <c r="I15" i="46" s="1"/>
  <c r="I78" i="45"/>
  <c r="I23" i="39" s="1"/>
  <c r="H23" i="39" s="1"/>
  <c r="I76" i="43"/>
  <c r="I24" i="39" s="1"/>
  <c r="H24" i="39" s="1"/>
  <c r="H34" i="43"/>
  <c r="I14" i="42"/>
  <c r="H41" i="42"/>
  <c r="H42" i="41"/>
  <c r="I17" i="41"/>
  <c r="I26" i="41" s="1"/>
  <c r="I16" i="46" l="1"/>
  <c r="I17" i="46" s="1"/>
  <c r="I31" i="46" s="1"/>
  <c r="I15" i="44"/>
  <c r="I16" i="44" s="1"/>
  <c r="I39" i="43"/>
  <c r="I15" i="42"/>
  <c r="I16" i="42" s="1"/>
  <c r="H44" i="45"/>
  <c r="I45" i="43"/>
  <c r="I19" i="45"/>
  <c r="I45" i="41"/>
  <c r="I22" i="43"/>
  <c r="I20" i="43"/>
  <c r="I31" i="43"/>
  <c r="I44" i="45"/>
  <c r="I40" i="41"/>
  <c r="I37" i="41"/>
  <c r="I39" i="41"/>
  <c r="I41" i="41"/>
  <c r="I38" i="41"/>
  <c r="I32" i="43"/>
  <c r="I27" i="43"/>
  <c r="I38" i="43"/>
  <c r="I23" i="43"/>
  <c r="I37" i="43"/>
  <c r="I25" i="43"/>
  <c r="I26" i="43"/>
  <c r="I40" i="43"/>
  <c r="I33" i="43"/>
  <c r="I21" i="43"/>
  <c r="I24" i="43"/>
  <c r="I41" i="43"/>
  <c r="I92" i="41"/>
  <c r="I91" i="41" s="1"/>
  <c r="I94" i="45"/>
  <c r="I93" i="45" s="1"/>
  <c r="H42" i="43"/>
  <c r="I92" i="43"/>
  <c r="H41" i="44"/>
  <c r="I33" i="41"/>
  <c r="I31" i="41"/>
  <c r="I27" i="41"/>
  <c r="I24" i="41"/>
  <c r="I20" i="41"/>
  <c r="I32" i="41"/>
  <c r="I25" i="41"/>
  <c r="I21" i="41"/>
  <c r="I23" i="41"/>
  <c r="I22" i="41"/>
  <c r="M24" i="39" l="1"/>
  <c r="L24" i="39" s="1"/>
  <c r="I91" i="43"/>
  <c r="I38" i="42"/>
  <c r="I36" i="42"/>
  <c r="I24" i="42"/>
  <c r="I19" i="42"/>
  <c r="I40" i="44"/>
  <c r="I26" i="44"/>
  <c r="I23" i="44"/>
  <c r="I21" i="44"/>
  <c r="I37" i="44"/>
  <c r="I24" i="44"/>
  <c r="I19" i="44"/>
  <c r="I39" i="44"/>
  <c r="I30" i="44"/>
  <c r="I25" i="44"/>
  <c r="I22" i="44"/>
  <c r="I36" i="44"/>
  <c r="I32" i="44"/>
  <c r="I20" i="44"/>
  <c r="I31" i="44"/>
  <c r="I47" i="45"/>
  <c r="I31" i="42"/>
  <c r="I20" i="42"/>
  <c r="I32" i="42"/>
  <c r="I37" i="42"/>
  <c r="I39" i="42"/>
  <c r="I22" i="42"/>
  <c r="I25" i="42"/>
  <c r="I30" i="42"/>
  <c r="I40" i="42"/>
  <c r="I21" i="42"/>
  <c r="I23" i="42"/>
  <c r="I26" i="42"/>
  <c r="I34" i="45"/>
  <c r="I26" i="45"/>
  <c r="I102" i="45"/>
  <c r="M23" i="39"/>
  <c r="I88" i="41"/>
  <c r="M22" i="39"/>
  <c r="I34" i="43"/>
  <c r="I28" i="43"/>
  <c r="I22" i="45"/>
  <c r="I23" i="45"/>
  <c r="I35" i="45"/>
  <c r="I27" i="45"/>
  <c r="I24" i="45"/>
  <c r="I29" i="45"/>
  <c r="I25" i="45"/>
  <c r="I28" i="45"/>
  <c r="I33" i="45"/>
  <c r="I51" i="45" s="1"/>
  <c r="I90" i="41"/>
  <c r="I34" i="41"/>
  <c r="I89" i="41"/>
  <c r="I42" i="43"/>
  <c r="I49" i="43" s="1"/>
  <c r="I100" i="41"/>
  <c r="I26" i="46"/>
  <c r="I24" i="46"/>
  <c r="I20" i="46"/>
  <c r="I33" i="46"/>
  <c r="I27" i="46"/>
  <c r="I21" i="46"/>
  <c r="I41" i="46"/>
  <c r="I39" i="46"/>
  <c r="I38" i="46"/>
  <c r="I32" i="46"/>
  <c r="I23" i="46"/>
  <c r="I22" i="46"/>
  <c r="I40" i="46"/>
  <c r="I37" i="46"/>
  <c r="I25" i="46"/>
  <c r="I91" i="45"/>
  <c r="I90" i="45"/>
  <c r="I92" i="45"/>
  <c r="I90" i="43"/>
  <c r="I88" i="43"/>
  <c r="I100" i="43"/>
  <c r="I89" i="43"/>
  <c r="I28" i="41"/>
  <c r="I42" i="41"/>
  <c r="I49" i="41" s="1"/>
  <c r="O24" i="39" l="1"/>
  <c r="R24" i="39" s="1"/>
  <c r="I41" i="44"/>
  <c r="I27" i="42"/>
  <c r="I33" i="44"/>
  <c r="I27" i="44"/>
  <c r="I33" i="42"/>
  <c r="I41" i="42"/>
  <c r="O23" i="39"/>
  <c r="R23" i="39" s="1"/>
  <c r="L23" i="39"/>
  <c r="O22" i="39"/>
  <c r="R22" i="39" s="1"/>
  <c r="L22" i="39"/>
  <c r="I50" i="43"/>
  <c r="I46" i="43"/>
  <c r="I47" i="43"/>
  <c r="I48" i="43"/>
  <c r="I48" i="41"/>
  <c r="I50" i="41"/>
  <c r="I46" i="41"/>
  <c r="I47" i="41"/>
  <c r="I30" i="45"/>
  <c r="I42" i="46"/>
  <c r="I36" i="45"/>
  <c r="I28" i="46"/>
  <c r="I34" i="46"/>
  <c r="I43" i="42" l="1"/>
  <c r="I48" i="42" s="1"/>
  <c r="I43" i="44"/>
  <c r="I48" i="44" s="1"/>
  <c r="I49" i="45"/>
  <c r="I50" i="45"/>
  <c r="I52" i="45"/>
  <c r="I48" i="45"/>
  <c r="I51" i="43"/>
  <c r="I58" i="43" s="1"/>
  <c r="E24" i="39" s="1"/>
  <c r="D24" i="39" s="1"/>
  <c r="I51" i="41"/>
  <c r="I58" i="41" s="1"/>
  <c r="E22" i="39" s="1"/>
  <c r="D22" i="39" s="1"/>
  <c r="I49" i="42"/>
  <c r="I51" i="42" s="1"/>
  <c r="I60" i="42" s="1"/>
  <c r="I59" i="42" s="1"/>
  <c r="I44" i="46"/>
  <c r="I49" i="46" s="1"/>
  <c r="I49" i="44" l="1"/>
  <c r="I51" i="44" s="1"/>
  <c r="I60" i="44" s="1"/>
  <c r="I57" i="44" s="1"/>
  <c r="I50" i="46"/>
  <c r="I52" i="46" s="1"/>
  <c r="I61" i="46" s="1"/>
  <c r="I60" i="46" s="1"/>
  <c r="I53" i="45"/>
  <c r="I60" i="45" s="1"/>
  <c r="E23" i="39" s="1"/>
  <c r="D23" i="39" s="1"/>
  <c r="I62" i="42"/>
  <c r="I66" i="42" s="1"/>
  <c r="I57" i="42"/>
  <c r="I56" i="42"/>
  <c r="I58" i="42"/>
  <c r="I58" i="44" l="1"/>
  <c r="I62" i="44"/>
  <c r="I66" i="44" s="1"/>
  <c r="T24" i="39" s="1"/>
  <c r="U24" i="39" s="1"/>
  <c r="V24" i="39" s="1"/>
  <c r="I56" i="44"/>
  <c r="I59" i="44"/>
  <c r="I68" i="42"/>
  <c r="I70" i="42" s="1"/>
  <c r="T22" i="39"/>
  <c r="U22" i="39" s="1"/>
  <c r="V22" i="39" s="1"/>
  <c r="I57" i="46"/>
  <c r="I59" i="46"/>
  <c r="I63" i="46"/>
  <c r="I67" i="46" s="1"/>
  <c r="T23" i="39" s="1"/>
  <c r="U23" i="39" s="1"/>
  <c r="V23" i="39" s="1"/>
  <c r="I58" i="46"/>
  <c r="I15" i="33"/>
  <c r="I68" i="44" l="1"/>
  <c r="I70" i="44" s="1"/>
  <c r="I69" i="46"/>
  <c r="I8" i="36"/>
  <c r="I13" i="36" s="1"/>
  <c r="I15" i="38"/>
  <c r="I16" i="38" s="1"/>
  <c r="H26" i="38"/>
  <c r="H28" i="38" s="1"/>
  <c r="H27" i="37"/>
  <c r="H29" i="37" s="1"/>
  <c r="I16" i="37"/>
  <c r="I18" i="37" s="1"/>
  <c r="H25" i="36"/>
  <c r="H27" i="36" s="1"/>
  <c r="H26" i="35"/>
  <c r="H26" i="34"/>
  <c r="H28" i="34" s="1"/>
  <c r="H40" i="34" s="1"/>
  <c r="H27" i="33"/>
  <c r="H29" i="33" s="1"/>
  <c r="H41" i="33" s="1"/>
  <c r="H32" i="36" l="1"/>
  <c r="H33" i="36" s="1"/>
  <c r="H39" i="36"/>
  <c r="C20" i="40"/>
  <c r="H65" i="45" s="1"/>
  <c r="H33" i="38"/>
  <c r="H34" i="38" s="1"/>
  <c r="H42" i="38"/>
  <c r="H33" i="34"/>
  <c r="H34" i="34" s="1"/>
  <c r="I46" i="37"/>
  <c r="H34" i="37"/>
  <c r="H35" i="37" s="1"/>
  <c r="H41" i="37"/>
  <c r="H43" i="37" s="1"/>
  <c r="I77" i="37"/>
  <c r="I25" i="39" s="1"/>
  <c r="H25" i="39" s="1"/>
  <c r="H34" i="33"/>
  <c r="H35" i="33" s="1"/>
  <c r="H28" i="35"/>
  <c r="I39" i="35"/>
  <c r="H43" i="33"/>
  <c r="I40" i="37"/>
  <c r="I17" i="35"/>
  <c r="I23" i="37"/>
  <c r="I28" i="37"/>
  <c r="I39" i="37"/>
  <c r="I32" i="37"/>
  <c r="H42" i="34"/>
  <c r="I27" i="37"/>
  <c r="I25" i="37"/>
  <c r="I22" i="37"/>
  <c r="I33" i="37"/>
  <c r="I17" i="38"/>
  <c r="I26" i="37"/>
  <c r="I42" i="37"/>
  <c r="I21" i="37"/>
  <c r="I38" i="37"/>
  <c r="I24" i="37"/>
  <c r="I41" i="37"/>
  <c r="I76" i="35"/>
  <c r="I14" i="36"/>
  <c r="I15" i="36" s="1"/>
  <c r="I77" i="33"/>
  <c r="I18" i="33"/>
  <c r="I92" i="35" l="1"/>
  <c r="I21" i="39"/>
  <c r="H21" i="39" s="1"/>
  <c r="H63" i="43"/>
  <c r="I63" i="43" s="1"/>
  <c r="H64" i="37"/>
  <c r="I64" i="37" s="1"/>
  <c r="H63" i="35"/>
  <c r="I63" i="35" s="1"/>
  <c r="H63" i="41"/>
  <c r="I63" i="41" s="1"/>
  <c r="I65" i="45"/>
  <c r="I93" i="33"/>
  <c r="I92" i="33" s="1"/>
  <c r="I20" i="39"/>
  <c r="I26" i="39" s="1"/>
  <c r="I46" i="33"/>
  <c r="I16" i="36"/>
  <c r="I45" i="35"/>
  <c r="I93" i="37"/>
  <c r="I92" i="37" s="1"/>
  <c r="I34" i="37"/>
  <c r="I35" i="37" s="1"/>
  <c r="I41" i="35"/>
  <c r="I37" i="35"/>
  <c r="I38" i="35"/>
  <c r="I32" i="35"/>
  <c r="H33" i="35"/>
  <c r="H34" i="35" s="1"/>
  <c r="H40" i="35"/>
  <c r="I40" i="35" s="1"/>
  <c r="I26" i="35"/>
  <c r="I31" i="35"/>
  <c r="I22" i="35"/>
  <c r="I27" i="35"/>
  <c r="I21" i="35"/>
  <c r="I24" i="35"/>
  <c r="I23" i="35"/>
  <c r="I20" i="35"/>
  <c r="I25" i="35"/>
  <c r="H41" i="36"/>
  <c r="I43" i="37"/>
  <c r="I50" i="37" s="1"/>
  <c r="I29" i="37"/>
  <c r="I31" i="38"/>
  <c r="I41" i="38"/>
  <c r="I20" i="38"/>
  <c r="I26" i="38"/>
  <c r="I23" i="38"/>
  <c r="I32" i="38"/>
  <c r="I22" i="38"/>
  <c r="I25" i="38"/>
  <c r="I37" i="38"/>
  <c r="I21" i="38"/>
  <c r="I33" i="38"/>
  <c r="I24" i="38"/>
  <c r="I27" i="38"/>
  <c r="I39" i="38"/>
  <c r="I38" i="38"/>
  <c r="I40" i="38"/>
  <c r="I38" i="33"/>
  <c r="I40" i="33"/>
  <c r="I21" i="33"/>
  <c r="I41" i="33"/>
  <c r="I28" i="33"/>
  <c r="I33" i="33"/>
  <c r="I22" i="33"/>
  <c r="I34" i="33"/>
  <c r="I23" i="33"/>
  <c r="I26" i="33"/>
  <c r="I24" i="33"/>
  <c r="I42" i="33"/>
  <c r="I25" i="33"/>
  <c r="I27" i="33"/>
  <c r="I39" i="33"/>
  <c r="I32" i="33"/>
  <c r="M21" i="39" l="1"/>
  <c r="L21" i="39" s="1"/>
  <c r="I91" i="35"/>
  <c r="I90" i="33"/>
  <c r="M20" i="39"/>
  <c r="H20" i="39"/>
  <c r="H26" i="39" s="1"/>
  <c r="I47" i="37"/>
  <c r="I48" i="37"/>
  <c r="I49" i="37"/>
  <c r="I51" i="37"/>
  <c r="I90" i="35"/>
  <c r="I100" i="35"/>
  <c r="I89" i="35"/>
  <c r="I88" i="35"/>
  <c r="I91" i="33"/>
  <c r="I101" i="33"/>
  <c r="I65" i="43"/>
  <c r="I66" i="43" s="1"/>
  <c r="I67" i="45"/>
  <c r="I68" i="45" s="1"/>
  <c r="I65" i="41"/>
  <c r="I66" i="41" s="1"/>
  <c r="I101" i="37"/>
  <c r="M25" i="39"/>
  <c r="I89" i="33"/>
  <c r="I33" i="35"/>
  <c r="I40" i="36"/>
  <c r="I36" i="36"/>
  <c r="I39" i="36"/>
  <c r="I38" i="36"/>
  <c r="I37" i="36"/>
  <c r="I23" i="36"/>
  <c r="I22" i="36"/>
  <c r="I26" i="36"/>
  <c r="I19" i="36"/>
  <c r="I24" i="36"/>
  <c r="I25" i="36"/>
  <c r="I20" i="36"/>
  <c r="I31" i="36"/>
  <c r="I32" i="36"/>
  <c r="I21" i="36"/>
  <c r="I30" i="36"/>
  <c r="I90" i="37"/>
  <c r="I91" i="37"/>
  <c r="I89" i="37"/>
  <c r="I35" i="33"/>
  <c r="I42" i="35"/>
  <c r="I49" i="35" s="1"/>
  <c r="H42" i="35"/>
  <c r="I28" i="35"/>
  <c r="I34" i="35"/>
  <c r="I28" i="38"/>
  <c r="I42" i="38"/>
  <c r="I34" i="38"/>
  <c r="I17" i="34"/>
  <c r="I29" i="33"/>
  <c r="I43" i="33"/>
  <c r="I50" i="33" s="1"/>
  <c r="L20" i="39" l="1"/>
  <c r="M26" i="39"/>
  <c r="O21" i="39"/>
  <c r="R21" i="39" s="1"/>
  <c r="O25" i="39"/>
  <c r="R25" i="39" s="1"/>
  <c r="L25" i="39"/>
  <c r="O20" i="39"/>
  <c r="I48" i="35"/>
  <c r="I50" i="35"/>
  <c r="I46" i="35"/>
  <c r="I47" i="35"/>
  <c r="I49" i="33"/>
  <c r="I51" i="33"/>
  <c r="I47" i="33"/>
  <c r="I48" i="33"/>
  <c r="I67" i="41"/>
  <c r="I67" i="43"/>
  <c r="I69" i="45"/>
  <c r="I41" i="36"/>
  <c r="I33" i="36"/>
  <c r="I27" i="36"/>
  <c r="I24" i="34"/>
  <c r="I39" i="34"/>
  <c r="I41" i="34"/>
  <c r="I37" i="34"/>
  <c r="I40" i="34"/>
  <c r="I38" i="34"/>
  <c r="I52" i="37"/>
  <c r="I44" i="38"/>
  <c r="I20" i="34"/>
  <c r="I26" i="34"/>
  <c r="I31" i="34"/>
  <c r="I23" i="34"/>
  <c r="I25" i="34"/>
  <c r="I32" i="34"/>
  <c r="I22" i="34"/>
  <c r="I27" i="34"/>
  <c r="I33" i="34"/>
  <c r="I21" i="34"/>
  <c r="R20" i="39" l="1"/>
  <c r="R26" i="39" s="1"/>
  <c r="O26" i="39"/>
  <c r="L26" i="39"/>
  <c r="G22" i="39"/>
  <c r="F22" i="39" s="1"/>
  <c r="I85" i="41"/>
  <c r="I84" i="41" s="1"/>
  <c r="G24" i="39"/>
  <c r="F24" i="39" s="1"/>
  <c r="I85" i="43"/>
  <c r="I84" i="43" s="1"/>
  <c r="G23" i="39"/>
  <c r="F23" i="39" s="1"/>
  <c r="I87" i="45"/>
  <c r="I52" i="33"/>
  <c r="I59" i="33" s="1"/>
  <c r="I43" i="36"/>
  <c r="I48" i="36" s="1"/>
  <c r="I49" i="38"/>
  <c r="I59" i="37"/>
  <c r="E25" i="39" s="1"/>
  <c r="D25" i="39" s="1"/>
  <c r="I51" i="35"/>
  <c r="I58" i="35" s="1"/>
  <c r="E21" i="39" s="1"/>
  <c r="D21" i="39" s="1"/>
  <c r="I28" i="34"/>
  <c r="I42" i="34"/>
  <c r="I34" i="34"/>
  <c r="I100" i="45" l="1"/>
  <c r="I86" i="45"/>
  <c r="E20" i="39"/>
  <c r="I83" i="41"/>
  <c r="I94" i="41"/>
  <c r="I102" i="41" s="1"/>
  <c r="I106" i="41" s="1"/>
  <c r="K22" i="39"/>
  <c r="I82" i="41"/>
  <c r="I81" i="41"/>
  <c r="K24" i="39"/>
  <c r="I82" i="43"/>
  <c r="I94" i="43"/>
  <c r="I102" i="43" s="1"/>
  <c r="I106" i="43" s="1"/>
  <c r="I81" i="43"/>
  <c r="I83" i="43"/>
  <c r="I98" i="43"/>
  <c r="I104" i="43" s="1"/>
  <c r="I98" i="41"/>
  <c r="I104" i="41" s="1"/>
  <c r="I83" i="45"/>
  <c r="I96" i="45"/>
  <c r="I104" i="45" s="1"/>
  <c r="I85" i="45"/>
  <c r="K23" i="39"/>
  <c r="I84" i="45"/>
  <c r="I66" i="37"/>
  <c r="I67" i="37" s="1"/>
  <c r="I65" i="35"/>
  <c r="I66" i="35" s="1"/>
  <c r="I66" i="33"/>
  <c r="I67" i="33" s="1"/>
  <c r="I49" i="36"/>
  <c r="I51" i="36" s="1"/>
  <c r="I50" i="38"/>
  <c r="I52" i="38" s="1"/>
  <c r="I61" i="38" s="1"/>
  <c r="I60" i="38" s="1"/>
  <c r="I44" i="34"/>
  <c r="D20" i="39" l="1"/>
  <c r="E26" i="39"/>
  <c r="N24" i="39"/>
  <c r="P24" i="39" s="1"/>
  <c r="J24" i="39"/>
  <c r="N23" i="39"/>
  <c r="Q23" i="39" s="1"/>
  <c r="S23" i="39" s="1"/>
  <c r="J23" i="39"/>
  <c r="N22" i="39"/>
  <c r="P22" i="39" s="1"/>
  <c r="J22" i="39"/>
  <c r="I68" i="37"/>
  <c r="I67" i="35"/>
  <c r="I68" i="33"/>
  <c r="I58" i="38"/>
  <c r="I57" i="38"/>
  <c r="I63" i="38"/>
  <c r="I67" i="38" s="1"/>
  <c r="T25" i="39" s="1"/>
  <c r="U25" i="39" s="1"/>
  <c r="V25" i="39" s="1"/>
  <c r="I59" i="38"/>
  <c r="I48" i="34"/>
  <c r="Q24" i="39" l="1"/>
  <c r="S24" i="39" s="1"/>
  <c r="P23" i="39"/>
  <c r="Q22" i="39"/>
  <c r="S22" i="39" s="1"/>
  <c r="I85" i="35"/>
  <c r="G21" i="39"/>
  <c r="F21" i="39" s="1"/>
  <c r="I86" i="37"/>
  <c r="G25" i="39"/>
  <c r="F25" i="39" s="1"/>
  <c r="I86" i="33"/>
  <c r="G20" i="39"/>
  <c r="G26" i="39" s="1"/>
  <c r="I69" i="38"/>
  <c r="I49" i="34"/>
  <c r="I50" i="34" s="1"/>
  <c r="I58" i="34" s="1"/>
  <c r="I57" i="34" s="1"/>
  <c r="I95" i="37" l="1"/>
  <c r="I103" i="37" s="1"/>
  <c r="I85" i="37"/>
  <c r="K21" i="39"/>
  <c r="J21" i="39" s="1"/>
  <c r="I84" i="35"/>
  <c r="K20" i="39"/>
  <c r="I85" i="33"/>
  <c r="F20" i="39"/>
  <c r="F26" i="39" s="1"/>
  <c r="I81" i="35"/>
  <c r="I98" i="35"/>
  <c r="I104" i="35" s="1"/>
  <c r="I94" i="35"/>
  <c r="I102" i="35" s="1"/>
  <c r="I106" i="35" s="1"/>
  <c r="I82" i="35"/>
  <c r="I83" i="35"/>
  <c r="I99" i="37"/>
  <c r="K25" i="39"/>
  <c r="I84" i="37"/>
  <c r="I82" i="37"/>
  <c r="I83" i="37"/>
  <c r="I82" i="33"/>
  <c r="I95" i="33"/>
  <c r="I103" i="33" s="1"/>
  <c r="I84" i="33"/>
  <c r="I99" i="33"/>
  <c r="I83" i="33"/>
  <c r="I55" i="34"/>
  <c r="I56" i="34"/>
  <c r="I54" i="34"/>
  <c r="I60" i="34"/>
  <c r="I64" i="34" s="1"/>
  <c r="T20" i="39" s="1"/>
  <c r="U20" i="39" l="1"/>
  <c r="J20" i="39"/>
  <c r="K26" i="39"/>
  <c r="N21" i="39"/>
  <c r="P21" i="39" s="1"/>
  <c r="N25" i="39"/>
  <c r="P25" i="39" s="1"/>
  <c r="J25" i="39"/>
  <c r="N20" i="39"/>
  <c r="I66" i="34"/>
  <c r="I60" i="36"/>
  <c r="I59" i="36" s="1"/>
  <c r="Q20" i="39" l="1"/>
  <c r="N26" i="39"/>
  <c r="J26" i="39"/>
  <c r="V20" i="39"/>
  <c r="Q21" i="39"/>
  <c r="S21" i="39" s="1"/>
  <c r="Q25" i="39"/>
  <c r="S25" i="39" s="1"/>
  <c r="P20" i="39"/>
  <c r="P26" i="39" s="1"/>
  <c r="I58" i="36"/>
  <c r="I57" i="36"/>
  <c r="I56" i="36"/>
  <c r="I62" i="36"/>
  <c r="I66" i="36" s="1"/>
  <c r="T21" i="39" s="1"/>
  <c r="U21" i="39" l="1"/>
  <c r="T26" i="39"/>
  <c r="S20" i="39"/>
  <c r="S26" i="39" s="1"/>
  <c r="Q26" i="39"/>
  <c r="N27" i="39"/>
  <c r="N28" i="39" s="1"/>
  <c r="G27" i="39"/>
  <c r="G28" i="39" s="1"/>
  <c r="I68" i="36"/>
  <c r="I70" i="36" s="1"/>
  <c r="V21" i="39" l="1"/>
  <c r="U26" i="39"/>
  <c r="V26" i="39" l="1"/>
  <c r="R27" i="39"/>
  <c r="R28" i="39" s="1"/>
  <c r="U27" i="39" s="1"/>
</calcChain>
</file>

<file path=xl/sharedStrings.xml><?xml version="1.0" encoding="utf-8"?>
<sst xmlns="http://schemas.openxmlformats.org/spreadsheetml/2006/main" count="1178" uniqueCount="241">
  <si>
    <t>PROCURADORIA-GERAL DE JUSTIÇA / MPRS - CNPJ 93.802.833/0001-57</t>
  </si>
  <si>
    <t>ANEXO II - FORMULÁRIO PARA A PROPOSTA DE PREÇOS</t>
  </si>
  <si>
    <t>MENOR PREÇO GLOBAL</t>
  </si>
  <si>
    <t>Pregão Eletrônico n.º 01/2026</t>
  </si>
  <si>
    <t>PGEA n.º 00589.000.993/2024</t>
  </si>
  <si>
    <t>Local:</t>
  </si>
  <si>
    <t>Data/Hora/Portal:</t>
  </si>
  <si>
    <t>28.1.2025, 12h                                    www.pregaobanrisul.com.br</t>
  </si>
  <si>
    <t>Fornecedor:</t>
  </si>
  <si>
    <t>CNPJ:</t>
  </si>
  <si>
    <t>Endereço:</t>
  </si>
  <si>
    <t>Telefone:</t>
  </si>
  <si>
    <t xml:space="preserve">MINISTÉRIO PÚBLICO - PROCURADORIA-GERAL DE JUSTIÇA </t>
  </si>
  <si>
    <t>Item</t>
  </si>
  <si>
    <t>Posto (carga-horária de 220 horas mensais)</t>
  </si>
  <si>
    <t>Número de func/postos</t>
  </si>
  <si>
    <t>VALORES MENSAIS POR POSTO</t>
  </si>
  <si>
    <t>VALORES TOTAIS PELA QUANTIDADE DE POSTOS</t>
  </si>
  <si>
    <t>HORAS EXTRAS</t>
  </si>
  <si>
    <t xml:space="preserve">Montante A </t>
  </si>
  <si>
    <t>Montante B</t>
  </si>
  <si>
    <t>Montante C</t>
  </si>
  <si>
    <t>Montante D1 (incide sobre A e B)</t>
  </si>
  <si>
    <t>Montante D2 (incide sobre C)</t>
  </si>
  <si>
    <t>Montantes A + B + D1</t>
  </si>
  <si>
    <t>Montantes C + D2</t>
  </si>
  <si>
    <t>Soma dos Montantes A + B + C + D</t>
  </si>
  <si>
    <t>VALOR UNITÁRIO DA HORA EXTRA</t>
  </si>
  <si>
    <t>VALOR DA ESTIMATIVA DE 20 HORAS MENSAIS</t>
  </si>
  <si>
    <t>VALOR MENSAL DA HORA EXTRA PARA O TOTAL DE POSTOS</t>
  </si>
  <si>
    <t xml:space="preserve"> Assistente de Manutenção de Veículos</t>
  </si>
  <si>
    <t xml:space="preserve"> Motorista Diurno 1 (carga)</t>
  </si>
  <si>
    <t>Motorista Diurno 2 (Micro-ônibus)</t>
  </si>
  <si>
    <t xml:space="preserve"> Motorista de Noturno</t>
  </si>
  <si>
    <t>Motorista de Ônibus</t>
  </si>
  <si>
    <t xml:space="preserve"> Supervisor</t>
  </si>
  <si>
    <t>TOTAIS</t>
  </si>
  <si>
    <t>TOTAL PARA A LICITAÇÃO (A + B + D1)</t>
  </si>
  <si>
    <t xml:space="preserve">  MENSAL</t>
  </si>
  <si>
    <t>TOTAL MENSAL MONTANTES A + B + C + D</t>
  </si>
  <si>
    <t>TOTAL MENSAL DE HORAS EXTRAS</t>
  </si>
  <si>
    <t>TOTAL PARA O CONTRATO DE 12 (DOZE) MESES (A + B + C + D) + (HORAS EXTRAS)</t>
  </si>
  <si>
    <t>ANUAL</t>
  </si>
  <si>
    <t>TOTAL ANUAL MONTANTES A + B + C + D</t>
  </si>
  <si>
    <t>TOTAL ANUAL DE HORAS EXTRAS</t>
  </si>
  <si>
    <t xml:space="preserve">Preencha apenas os campos: Fornecedor; CNPJ; Endereço; Fone/Email; Preço Unitário; Representante Legal; Qualificação; Cargo e Pessoa para contato, com indicação dos respectivos telefones, e Local e Data.   </t>
  </si>
  <si>
    <t xml:space="preserve">Os Totais serão calculados automaticamente.                                                                            </t>
  </si>
  <si>
    <t>Não faça modificações na planilha original. A mesma poderá apresentar problemas de leitura, invalidando sua proposta.</t>
  </si>
  <si>
    <t>CONDIÇÕES GERAIS</t>
  </si>
  <si>
    <t xml:space="preserve">Conforme Termo de Referência - Anexo I do Edital e demais Anexos. </t>
  </si>
  <si>
    <t>DECLARAÇÃO</t>
  </si>
  <si>
    <t>Declaramos, para os devidos fins e sob as penalidades de lei, que:</t>
  </si>
  <si>
    <t>1) Que o(s) serviço(s) ofertado(s) e/ou o(s) produto(s) constante(s) da proposta, com indicação de marca e modelo, quando aplicável, atende(m) integralmente às especificações e características técnicas mínimas exigidas no Edital e seus Anexos.</t>
  </si>
  <si>
    <t>2) Que o valor proposto contempla todas as despesas ordinárias, diretas e indiretas, necessárias ao integral cumprimento do objeto contratual, incluindo, mas não se limitando a: lucro, tributos, encargos sociais, trabalhistas, previdenciários, fiscais e comerciais, fornecimento de mão de obra especializada, equipamentos, ferramentas, frete, seguro, instalação (quando aplicável), bem como quaisquer outros custos incidentes para a execução do objeto e entrega no local e prazo estabelecidos no Edital e seus Anexos.</t>
  </si>
  <si>
    <t>3) A validade da proposta é de 90 (noventa) dias.</t>
  </si>
  <si>
    <t xml:space="preserve">4) Para fins de cumprimento à Resolução n.º 37/2009 do CNMP (com redação dada pela Resolução n.º 172/2017), não possuímos, no nosso quadro societário, cônjuge, companheiro ou parente em linha reta, colateral ou por afinidade, até o terceiro grau, inclusive, de membros ocupantes de cargos de direção ou no exercício de funções administrativas, ou de servidores ocupantes de cargos de direção, chefia e assessoramento, vinculados direta ou indiretamente às unidades situadas na linha hierárquica da área encarregada da licitação/contratação no âmbito do Ministério Público do Estado do Rio Grande do Sul, o que será mantido durante a execução do contrato.       </t>
  </si>
  <si>
    <t>4-A) A presente declaração de parentesco diz respeito ao tanto ao momento atual, quanto ao período em que o procedimento licitatório foi deflagrado: (a) quando os membros e/ou servidores geradores da incompatibilidade estavam no exercício dos respectivos cargos e funções, ou (b) até 06 (seis) meses após a desincompatibilização dos membro e servidores geradores da incompatibilidade.</t>
  </si>
  <si>
    <t xml:space="preserve">5) Para fins de cumprimento do artigo 14, inciso IV, da Lei Federal n.º 14.133/2021, não mantemos, nem manteremos, durante a execução do contrato, direta ou indiretamente, vínculo de natureza técnica, comercial, econômica, financeira, trabalhista ou civil com dirigente do Ministério Público do Estado do Rio Grande do Sul ou com agente público que desempenhe função na presente licitação/contratação ou atue na fiscalização ou na gestão do contrato, ou que deles seja cônjuge, companheiro ou parente em linha reta, colateral ou por afinidade, até o terceiro grau.
</t>
  </si>
  <si>
    <t>6) Sendo enquadrada como microempresa ou empresa de pequeno porte, declaramos que, no ano-calendário de realização da licitação, ainda não celebramos contratos com a Administração Pública, com valores somados maiores que a receita bruta máxima admitida para fins de enquadramento como empresa de pequeno porte.</t>
  </si>
  <si>
    <t>Nome(s) do(s) sócio(s) majoritário(s):</t>
  </si>
  <si>
    <t>CPF(S) do(s) sócios(s):</t>
  </si>
  <si>
    <t>E-mail:</t>
  </si>
  <si>
    <t>Pessoa para contato e telefone:</t>
  </si>
  <si>
    <t>Local e Data:</t>
  </si>
  <si>
    <t>_____________________________________</t>
  </si>
  <si>
    <t>Representante Legal</t>
  </si>
  <si>
    <t>PLANILHA TIPO 1</t>
  </si>
  <si>
    <t>PROCURADORIA-GERAL DE JUSTIÇA - MINISTÉRIO PÚBLICO DO ESTADO DO RIO GRANDE DO SUL</t>
  </si>
  <si>
    <t>LOCAL:  PORTO ALEGRE - RS</t>
  </si>
  <si>
    <t>Assitente de Manutenção de Veículos - CBO 9144-05 - AUXILIAR DE MECÂNICO DE AUTOS</t>
  </si>
  <si>
    <t>Horário de expediente compreendido entre 08h10 às 18h10</t>
  </si>
  <si>
    <t>INTERVALO: 1h12min</t>
  </si>
  <si>
    <t xml:space="preserve">CCT: </t>
  </si>
  <si>
    <t>SALÁRIO MÍNIMO EXIGIDO - subitem 11.3.1 do Anexo I do Edital - R$ 3.000,00</t>
  </si>
  <si>
    <t>MONTANTE A</t>
  </si>
  <si>
    <t>I</t>
  </si>
  <si>
    <t>Remuneração</t>
  </si>
  <si>
    <t>Total (R$)</t>
  </si>
  <si>
    <t>Salário</t>
  </si>
  <si>
    <t>Insalubridade - Cláusula décima quarta da CCT - Lei estadual RS 16.311 de 10/06/2025 - Art 1°, Inciso IV, alínea "a"</t>
  </si>
  <si>
    <t>Total</t>
  </si>
  <si>
    <t>II</t>
  </si>
  <si>
    <t>Encargos Sociais</t>
  </si>
  <si>
    <t>Percentual</t>
  </si>
  <si>
    <t>INSS</t>
  </si>
  <si>
    <t>SESI/SESC</t>
  </si>
  <si>
    <t>SENAI/SENAC</t>
  </si>
  <si>
    <t>INCRA</t>
  </si>
  <si>
    <t>Salário Educação</t>
  </si>
  <si>
    <t>FGTS</t>
  </si>
  <si>
    <t>RAT x FAP</t>
  </si>
  <si>
    <t>RAT =</t>
  </si>
  <si>
    <t>FAP =</t>
  </si>
  <si>
    <t>SEBRAE</t>
  </si>
  <si>
    <t>III</t>
  </si>
  <si>
    <t>13º Salário e Adicional de Férias</t>
  </si>
  <si>
    <t>13º Salário</t>
  </si>
  <si>
    <t>Adicional de Férias</t>
  </si>
  <si>
    <t>Incidência dos encargos previstos no grupo II</t>
  </si>
  <si>
    <t>IV</t>
  </si>
  <si>
    <t>Provisão para rescisão</t>
  </si>
  <si>
    <t>Aviso Prévio Indenizado</t>
  </si>
  <si>
    <t>Incidência do FGTS sobre o Aviso Prévio Indenizado</t>
  </si>
  <si>
    <t>Aviso Prévio Trabalhado</t>
  </si>
  <si>
    <t>Incidência dos encargos previstos no grupo II sobre o Aviso Prévio Trabalhado</t>
  </si>
  <si>
    <t>Multa do FGTS sobre os Avisos API e APT</t>
  </si>
  <si>
    <t>V</t>
  </si>
  <si>
    <t>Custo de reposição do profissional ausente</t>
  </si>
  <si>
    <t>Substituto na cobertura de férias ( 1/12+1/3 das Férias) (9,075+3,025= 12,10%)</t>
  </si>
  <si>
    <t>Ausências Legais</t>
  </si>
  <si>
    <t>Licença-Paternidade</t>
  </si>
  <si>
    <t>Ausência por acidente de trabalho</t>
  </si>
  <si>
    <t>Afastamento Maternidade</t>
  </si>
  <si>
    <t>Ausência por doença</t>
  </si>
  <si>
    <t>VI</t>
  </si>
  <si>
    <t>Demais custos relativos à Norma Coletiva ou Disposições Legais</t>
  </si>
  <si>
    <t>Seguro de vida em grupo</t>
  </si>
  <si>
    <t>Plano de Saúde</t>
  </si>
  <si>
    <t xml:space="preserve">VALOR DO MONTANTE A </t>
  </si>
  <si>
    <t>MONTANTE B</t>
  </si>
  <si>
    <t>Insumos diversos, custos indiretos e lucro</t>
  </si>
  <si>
    <t>Uniformes</t>
  </si>
  <si>
    <t>Equipamentos</t>
  </si>
  <si>
    <t>Despesas Administrativas</t>
  </si>
  <si>
    <t>Lucro</t>
  </si>
  <si>
    <t>VALOR DO MONTANTE B</t>
  </si>
  <si>
    <t>MONTANTE C</t>
  </si>
  <si>
    <t xml:space="preserve">Benefícios </t>
  </si>
  <si>
    <t>Vale Transporte</t>
  </si>
  <si>
    <t>Auxílio Alimentação</t>
  </si>
  <si>
    <t>Auxílio Educação - Cláusula décima oitava da CCT</t>
  </si>
  <si>
    <t>Diárias - PROVIMENTO N.° 30/2018 - Art 2.° - Alínea "C"</t>
  </si>
  <si>
    <t>VALOR DO MONTANTE C</t>
  </si>
  <si>
    <t>MONTANTE D</t>
  </si>
  <si>
    <t>MONTANTE D1 - Tributos sobre Montante A + B</t>
  </si>
  <si>
    <t>COFINS</t>
  </si>
  <si>
    <t>PIS</t>
  </si>
  <si>
    <t>ISS</t>
  </si>
  <si>
    <t>Outros (se aplicável) - Ex. Contribuição Previdenciária sobre a Receita Bruta</t>
  </si>
  <si>
    <t>MONTANTE D2 - Tributos sobre Montante C</t>
  </si>
  <si>
    <t>VALOR DO MONTANTE D</t>
  </si>
  <si>
    <t>TOTAL DOS MONTANTES A + B + D1</t>
  </si>
  <si>
    <t>TOTAL DOS MONTANTES C + D2</t>
  </si>
  <si>
    <t>TOTAL DOS MONTANTES A + B + C + D</t>
  </si>
  <si>
    <t>PLANILHA TIPO 2</t>
  </si>
  <si>
    <t xml:space="preserve"> Motorista de Carga - CNH "B" - CBO 7823-05 - MOTORISTA PARA AUTOMÓVEIS</t>
  </si>
  <si>
    <t xml:space="preserve">Horário de expediente compreendido entre 09:10 às 19:10       </t>
  </si>
  <si>
    <t>Salário Normativo da Categoria Profissional</t>
  </si>
  <si>
    <t>VALOR DO MONTANTE A (1 colaborador)</t>
  </si>
  <si>
    <t>VALOR DO MONTANTE B (1 colaborador)</t>
  </si>
  <si>
    <t>Cesta Básica</t>
  </si>
  <si>
    <t>VALOR DO MONTANTE C (1 colaborador)</t>
  </si>
  <si>
    <t xml:space="preserve">VALOR DO MONTANTE D (1 colaborador) </t>
  </si>
  <si>
    <t>TOTAL DOS MONTANTES A + B + D1 (1 colaborador)</t>
  </si>
  <si>
    <t>TOTAL DOS MONTANTES C + D2 (1 colaborador)</t>
  </si>
  <si>
    <t>TOTAL DOS MONTANTES A + B + C + D (1 colaborador)</t>
  </si>
  <si>
    <t>TOTAL MENSAL A + B + D1 PARA 1 COLABORADOR</t>
  </si>
  <si>
    <t>TOTAL MENSAL A + B + C + D PARA O 1 COLABORADOR</t>
  </si>
  <si>
    <t>PLANILHA TIPO 3</t>
  </si>
  <si>
    <t>Motorista de Micro-ônibus - CNH "D" - CBO 7823-10 - Motorista para micro-ônibus</t>
  </si>
  <si>
    <t>VALOR DO MONTANTE D (1 colaborador)</t>
  </si>
  <si>
    <t>TOTAL MENSAL A + B + C + D PARA 1 COLABORADOR</t>
  </si>
  <si>
    <t>PLANILHA TIPO 4</t>
  </si>
  <si>
    <t>Motorista de Micro-ônibus Noturno - CNH "D" -  CBO 7823-10 - Motorista para micro-ônibus</t>
  </si>
  <si>
    <t>Horário de expediente compreendido entre 15:25 às 00:48</t>
  </si>
  <si>
    <t xml:space="preserve">Salário Normativo da Categoria Profissional: </t>
  </si>
  <si>
    <t>Adicional Noturno e de hora reduzida</t>
  </si>
  <si>
    <t>Incidência do Repouso Semanal Remunerado sobre os adicionais</t>
  </si>
  <si>
    <t>PLANILHA TIPO 5</t>
  </si>
  <si>
    <t>Motorista de Ônibus  de turismo e fretamento - CNH "D" - CBO 7824-05 - MOTORISTA DE ÔNIBUS RODOVIÁRIO</t>
  </si>
  <si>
    <t xml:space="preserve"> Horário de expediente compreendido entre 07h00 às 22h00</t>
  </si>
  <si>
    <t>CCT:</t>
  </si>
  <si>
    <t>PLANILHA TIPO 6</t>
  </si>
  <si>
    <t xml:space="preserve">LOCAL: PORTO ALEGRE- RS </t>
  </si>
  <si>
    <t xml:space="preserve"> Supervisor/Motorista de Micro-ônibus - CBO 5101-05 - SUPERVIDOR DE TRANPORTES/Motorista para micro-ônibus</t>
  </si>
  <si>
    <t xml:space="preserve">Salário Normativo da Categoria Profissional </t>
  </si>
  <si>
    <t>Gratificação de 20% sobre o salário</t>
  </si>
  <si>
    <t>VALOR DO MONTANTE A</t>
  </si>
  <si>
    <t>Salário Normativo da Categoria Profissional:</t>
  </si>
  <si>
    <t>valor da hora</t>
  </si>
  <si>
    <t>Insalubridade sobre a hora - Art 192 CLT - Lei estadual RS 16.311 de 10/06/2025 - Art 1°, Inciso IV, alínea "a"</t>
  </si>
  <si>
    <t>Adicional de hora-extra</t>
  </si>
  <si>
    <t xml:space="preserve">Repouso Semanal Remunerado sobre os adicionais </t>
  </si>
  <si>
    <t xml:space="preserve">VALOR DO MONTANTE B </t>
  </si>
  <si>
    <t xml:space="preserve">VALOR DO MONTANTE D </t>
  </si>
  <si>
    <t xml:space="preserve">TOTAL DOS MONTANTES A + B + D1 </t>
  </si>
  <si>
    <t>TOTAL MENSAL DE HE ESTIMADAS (20) P/ 1 COLABORADOR</t>
  </si>
  <si>
    <t>Valor da Hora</t>
  </si>
  <si>
    <t>Adicional de Horas Extras</t>
  </si>
  <si>
    <t>Repouso Semanal Remunerado</t>
  </si>
  <si>
    <t>VALOR DO MONTANTE A (1 HE p/ 1 colaborador)</t>
  </si>
  <si>
    <t>VALOR DO MONTANTE B (1 HE p/ 1 colaborador)</t>
  </si>
  <si>
    <t>VALOR DO MONTANTE D (1 HE p/ 1 colaborador)</t>
  </si>
  <si>
    <t>TOTAL DOS MONTANTES A + B + D1 (1 HE p/ 1 colaborador)</t>
  </si>
  <si>
    <t>TOTAL MENSAL DE HE ESTIMADAS P/1 COLABORADOR</t>
  </si>
  <si>
    <t>TOTAL MENSAL DE HE ESTIMADAS P/ 1 COLABORADORES</t>
  </si>
  <si>
    <t>Valor da Hora Noturna</t>
  </si>
  <si>
    <t>Adicional Noturno</t>
  </si>
  <si>
    <t>TOTAL MENSAL DE HE ESTIMADAS P/ 1 COLABORADOR</t>
  </si>
  <si>
    <t>Bonificação - subitem 11.4.1 do Anexo I do Edital</t>
  </si>
  <si>
    <t>TOTAL MENSAL DE HE ESTIMADAS (20)  P/ 1 COLABORADOR</t>
  </si>
  <si>
    <t>MEMÓRIA DE CÁLCULO UNIFORMES E EQUIPAMENTOS</t>
  </si>
  <si>
    <t>(I) UNIFORME</t>
  </si>
  <si>
    <t>SUPERVISOR, MOTORISTA DIURNO 1, MOTORISTA DIURNO 2, MOTORISTA NOTURNO E MOTORISTA DE ÔNIBUS (masculino e feminino) - subitens 5.2.1.1 e 5.2.1.3 do Anexo I do Edital.</t>
  </si>
  <si>
    <t>ASSISTENTE DE MANUTENÇÃO DE VEÍCULOS (masculino e feminino) - subitem 5.2.1.2 do Anexo I do Edital.</t>
  </si>
  <si>
    <t>QT ANUAL</t>
  </si>
  <si>
    <t>UNIFORME</t>
  </si>
  <si>
    <t>VALOR UNITÁRIO</t>
  </si>
  <si>
    <t>TOTAL</t>
  </si>
  <si>
    <t xml:space="preserve">ternos completos em microfibra </t>
  </si>
  <si>
    <t xml:space="preserve">calças compridas em jeans escuro </t>
  </si>
  <si>
    <t xml:space="preserve">camisas, mangas longas </t>
  </si>
  <si>
    <t xml:space="preserve">camisas manga curta polo </t>
  </si>
  <si>
    <t xml:space="preserve">camisas polo </t>
  </si>
  <si>
    <t>04 camisetas manga longa de algodão</t>
  </si>
  <si>
    <t xml:space="preserve">suéteres de lã </t>
  </si>
  <si>
    <t>pares de sapatos de segurança de couro preto com elástico</t>
  </si>
  <si>
    <t xml:space="preserve">calça social corte reto </t>
  </si>
  <si>
    <t>agasalhos de moletom aberto (fechamento com zíper), unissex, com dois bolsos, tecido flanelado na parte interna, composição 50% algodão, 50% poliéster;</t>
  </si>
  <si>
    <t>calças jeans</t>
  </si>
  <si>
    <t>suéteres de lã , com decote em V, na cor preta</t>
  </si>
  <si>
    <t xml:space="preserve">gravatas </t>
  </si>
  <si>
    <t>cordas para crachá</t>
  </si>
  <si>
    <t>pares de meias pretas</t>
  </si>
  <si>
    <t>TOTAL ANO</t>
  </si>
  <si>
    <t>cintos de couro social</t>
  </si>
  <si>
    <t>MENSAL POR POSTO</t>
  </si>
  <si>
    <t xml:space="preserve">pares de sapatos social masculino </t>
  </si>
  <si>
    <t xml:space="preserve">casaco de lã </t>
  </si>
  <si>
    <t>(II) EQUIPAMENTOS</t>
  </si>
  <si>
    <t>QT ANUAL POR POSTO</t>
  </si>
  <si>
    <t>EQUIPAMENTO</t>
  </si>
  <si>
    <t>Média unitária MENSAL</t>
  </si>
  <si>
    <t>Aparelho Celular EM COMODATO com pacote de dados - subitem 5.3.5.r do Anexo I do Edital</t>
  </si>
  <si>
    <t>VALOR MENSAL DE EQUIPAMENTOS POR POSTO</t>
  </si>
  <si>
    <t>TOTAL ANUAL</t>
  </si>
  <si>
    <t>Média unitária</t>
  </si>
  <si>
    <t>Média total</t>
  </si>
  <si>
    <t>vida útil em meses</t>
  </si>
  <si>
    <t>Cofre - subitem 5.2 do anexo I do Edital</t>
  </si>
  <si>
    <t>TOTAL MENSAL PARA CADA UM DOS 25 POSTOS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</si>
</sst>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43" formatCode="_-* #,##0.00_-;\-* #,##0.00_-;_-* &quot;-&quot;??_-;_-@_-"/>
    <numFmt numFmtId="164" formatCode="_-&quot;R$&quot;* #,##0.00_-;\-&quot;R$&quot;* #,##0.00_-;_-&quot;R$&quot;* &quot;-&quot;??_-;_-@_-"/>
    <numFmt numFmtId="165" formatCode="_(* #,##0.00_);_(* \(#,##0.00\);_(* &quot;-&quot;??_);_(@_)"/>
    <numFmt numFmtId="166" formatCode="0.0000"/>
    <numFmt numFmtId="167" formatCode="_(&quot;R$ &quot;* #,##0.00_);_(&quot;R$ &quot;* \(#,##0.00\);_(&quot;R$ &quot;* &quot;-&quot;??_);_(@_)"/>
    <numFmt numFmtId="168" formatCode="_-[$R$-416]\ * #,##0.00_-;\-[$R$-416]\ * #,##0.00_-;_-[$R$-416]\ * &quot;-&quot;??_-;_-@_-"/>
    <numFmt numFmtId="169" formatCode="0.000%"/>
    <numFmt numFmtId="170" formatCode="#,##0.0000"/>
    <numFmt numFmtId="171" formatCode="_(* #,##0.00_);_(* \(#,##0.00\);_(* \-??_);_(@_)"/>
    <numFmt numFmtId="172" formatCode="_-&quot;R$ &quot;* #,##0.00_-;&quot;-R$ &quot;* #,##0.00_-;_-&quot;R$ &quot;* \-??_-;_-@_-"/>
  </numFmts>
  <fonts count="31">
    <font>
      <sz val="11"/>
      <color theme="1"/>
      <name val="Calibri"/>
      <family val="2"/>
      <scheme val="minor"/>
    </font>
    <font>
      <sz val="10"/>
      <name val="Arial"/>
      <family val="2"/>
    </font>
    <font>
      <sz val="10"/>
      <name val="Arial"/>
      <family val="2"/>
    </font>
    <font>
      <b/>
      <sz val="11"/>
      <name val="Arial"/>
      <family val="2"/>
    </font>
    <font>
      <b/>
      <sz val="14"/>
      <name val="Arial"/>
      <family val="2"/>
    </font>
    <font>
      <sz val="11"/>
      <name val="Calibri"/>
      <family val="2"/>
    </font>
    <font>
      <b/>
      <sz val="12"/>
      <name val="Arial"/>
      <family val="2"/>
    </font>
    <font>
      <sz val="12"/>
      <name val="Arial"/>
      <family val="2"/>
    </font>
    <font>
      <b/>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rgb="FFFF0000"/>
      <name val="Arial"/>
      <family val="2"/>
    </font>
    <font>
      <b/>
      <sz val="11"/>
      <color rgb="FFFF0000"/>
      <name val="Calibri"/>
      <family val="2"/>
      <scheme val="minor"/>
    </font>
    <font>
      <b/>
      <sz val="11"/>
      <name val="Calibri"/>
      <family val="2"/>
      <scheme val="minor"/>
    </font>
    <font>
      <sz val="11"/>
      <color indexed="8"/>
      <name val="Calibri"/>
      <family val="2"/>
    </font>
    <font>
      <b/>
      <sz val="10"/>
      <color theme="1"/>
      <name val="Arial"/>
      <family val="2"/>
    </font>
    <font>
      <sz val="10"/>
      <color theme="1"/>
      <name val="Arial"/>
      <family val="2"/>
    </font>
    <font>
      <sz val="11"/>
      <color rgb="FF000000"/>
      <name val="Calibri"/>
      <family val="2"/>
      <scheme val="minor"/>
    </font>
    <font>
      <b/>
      <sz val="11"/>
      <color theme="0"/>
      <name val="Calibri"/>
      <family val="2"/>
      <scheme val="minor"/>
    </font>
    <font>
      <sz val="10"/>
      <name val="Arial"/>
      <family val="2"/>
      <charset val="1"/>
    </font>
    <font>
      <b/>
      <sz val="14"/>
      <color theme="1"/>
      <name val="Arial"/>
      <family val="2"/>
    </font>
    <font>
      <b/>
      <sz val="12"/>
      <color theme="1"/>
      <name val="Arial"/>
      <family val="2"/>
    </font>
    <font>
      <b/>
      <sz val="10"/>
      <color theme="0"/>
      <name val="Arial"/>
      <family val="2"/>
    </font>
    <font>
      <b/>
      <sz val="14"/>
      <color theme="0"/>
      <name val="Calibri"/>
      <family val="2"/>
      <scheme val="minor"/>
    </font>
    <font>
      <sz val="10"/>
      <name val="Arial"/>
      <family val="2"/>
    </font>
    <font>
      <sz val="16"/>
      <name val="Arial"/>
      <family val="2"/>
    </font>
    <font>
      <b/>
      <sz val="16"/>
      <name val="Arial"/>
      <family val="2"/>
    </font>
    <font>
      <b/>
      <sz val="16"/>
      <color rgb="FFFF0000"/>
      <name val="Arial"/>
      <family val="2"/>
    </font>
    <font>
      <b/>
      <sz val="16"/>
      <color theme="1"/>
      <name val="Arial"/>
      <family val="2"/>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indexed="22"/>
        <bgColor indexed="44"/>
      </patternFill>
    </fill>
    <fill>
      <patternFill patternType="solid">
        <fgColor theme="1" tint="4.9989318521683403E-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style="medium">
        <color indexed="64"/>
      </top>
      <bottom style="thin">
        <color auto="1"/>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8"/>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medium">
        <color indexed="64"/>
      </left>
      <right style="medium">
        <color indexed="64"/>
      </right>
      <top/>
      <bottom/>
      <diagonal/>
    </border>
  </borders>
  <cellStyleXfs count="16">
    <xf numFmtId="0" fontId="0" fillId="0" borderId="0"/>
    <xf numFmtId="164" fontId="9" fillId="0" borderId="0" applyFont="0" applyFill="0" applyBorder="0" applyAlignment="0" applyProtection="0"/>
    <xf numFmtId="167" fontId="2" fillId="0" borderId="0" applyFont="0" applyFill="0" applyBorder="0" applyAlignment="0" applyProtection="0"/>
    <xf numFmtId="0" fontId="1" fillId="0" borderId="0"/>
    <xf numFmtId="9" fontId="9" fillId="0" borderId="0" applyFont="0" applyFill="0" applyBorder="0" applyAlignment="0" applyProtection="0"/>
    <xf numFmtId="9" fontId="2"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21" fillId="0" borderId="0"/>
    <xf numFmtId="172" fontId="21" fillId="0" borderId="0"/>
    <xf numFmtId="9" fontId="1" fillId="0" borderId="0" applyFill="0" applyBorder="0" applyAlignment="0" applyProtection="0"/>
    <xf numFmtId="9" fontId="1" fillId="0" borderId="0" applyFill="0" applyBorder="0" applyAlignment="0" applyProtection="0"/>
    <xf numFmtId="171" fontId="21" fillId="0" borderId="0"/>
    <xf numFmtId="44" fontId="9" fillId="0" borderId="0" applyFont="0" applyFill="0" applyBorder="0" applyAlignment="0" applyProtection="0"/>
    <xf numFmtId="0" fontId="26" fillId="0" borderId="0"/>
    <xf numFmtId="165" fontId="26" fillId="0" borderId="0" applyFont="0" applyFill="0" applyBorder="0" applyAlignment="0" applyProtection="0"/>
  </cellStyleXfs>
  <cellXfs count="614">
    <xf numFmtId="0" fontId="0" fillId="0" borderId="0" xfId="0"/>
    <xf numFmtId="0" fontId="0" fillId="0" borderId="1" xfId="0" applyBorder="1"/>
    <xf numFmtId="0" fontId="0" fillId="0" borderId="0" xfId="0" applyAlignment="1">
      <alignment horizontal="center"/>
    </xf>
    <xf numFmtId="4" fontId="0" fillId="0" borderId="0" xfId="0" applyNumberFormat="1"/>
    <xf numFmtId="10" fontId="11" fillId="0" borderId="1" xfId="4" applyNumberFormat="1" applyFont="1" applyBorder="1"/>
    <xf numFmtId="10" fontId="9" fillId="0" borderId="0" xfId="4" applyNumberFormat="1" applyFont="1"/>
    <xf numFmtId="10" fontId="11" fillId="0" borderId="1" xfId="4" applyNumberFormat="1" applyFont="1" applyFill="1" applyBorder="1"/>
    <xf numFmtId="0" fontId="10" fillId="0" borderId="0" xfId="0" applyFont="1"/>
    <xf numFmtId="165" fontId="0" fillId="0" borderId="0" xfId="0" applyNumberFormat="1"/>
    <xf numFmtId="0" fontId="13" fillId="0" borderId="0" xfId="0" applyFont="1" applyAlignment="1">
      <alignment vertical="center"/>
    </xf>
    <xf numFmtId="0" fontId="1" fillId="0" borderId="0" xfId="0" applyFont="1" applyAlignment="1">
      <alignment vertical="center"/>
    </xf>
    <xf numFmtId="0" fontId="13" fillId="3" borderId="0" xfId="0" applyFont="1" applyFill="1" applyAlignment="1">
      <alignment vertical="center"/>
    </xf>
    <xf numFmtId="4" fontId="14" fillId="0" borderId="0" xfId="0" applyNumberFormat="1" applyFont="1"/>
    <xf numFmtId="10" fontId="0" fillId="0" borderId="0" xfId="0" applyNumberFormat="1"/>
    <xf numFmtId="4" fontId="0" fillId="0" borderId="0" xfId="0" applyNumberFormat="1" applyProtection="1">
      <protection locked="0"/>
    </xf>
    <xf numFmtId="44" fontId="0" fillId="0" borderId="0" xfId="0" applyNumberFormat="1"/>
    <xf numFmtId="169" fontId="9" fillId="0" borderId="0" xfId="4" applyNumberFormat="1" applyFont="1"/>
    <xf numFmtId="0" fontId="7" fillId="2" borderId="0" xfId="0" applyFont="1" applyFill="1" applyAlignment="1" applyProtection="1">
      <alignment vertical="center"/>
      <protection locked="0"/>
    </xf>
    <xf numFmtId="170" fontId="14" fillId="0" borderId="0" xfId="0" applyNumberFormat="1" applyFont="1"/>
    <xf numFmtId="10" fontId="2" fillId="3" borderId="1" xfId="5" applyNumberFormat="1" applyFill="1" applyBorder="1" applyAlignment="1">
      <alignment horizontal="right" vertical="center"/>
    </xf>
    <xf numFmtId="169" fontId="2" fillId="0" borderId="1" xfId="5" applyNumberFormat="1" applyFill="1" applyBorder="1" applyAlignment="1">
      <alignment horizontal="right" vertical="center"/>
    </xf>
    <xf numFmtId="10" fontId="2" fillId="0" borderId="1" xfId="5" applyNumberFormat="1" applyFill="1" applyBorder="1" applyAlignment="1">
      <alignment horizontal="right" vertical="center"/>
    </xf>
    <xf numFmtId="10" fontId="16" fillId="0" borderId="1" xfId="0" applyNumberFormat="1" applyFont="1" applyBorder="1"/>
    <xf numFmtId="10" fontId="5" fillId="0" borderId="1" xfId="0" applyNumberFormat="1" applyFont="1" applyBorder="1"/>
    <xf numFmtId="0" fontId="1" fillId="3" borderId="1" xfId="3" applyFill="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12" fillId="0" borderId="1" xfId="0" applyFont="1" applyBorder="1" applyAlignment="1">
      <alignment horizontal="left" vertical="center" wrapText="1"/>
    </xf>
    <xf numFmtId="0" fontId="10" fillId="0" borderId="0" xfId="0" applyFont="1" applyAlignment="1">
      <alignment horizontal="left" vertical="center"/>
    </xf>
    <xf numFmtId="168" fontId="12" fillId="0" borderId="2" xfId="0" applyNumberFormat="1" applyFont="1" applyBorder="1" applyAlignment="1" applyProtection="1">
      <alignment horizontal="left" vertical="center"/>
      <protection locked="0"/>
    </xf>
    <xf numFmtId="168" fontId="12" fillId="0" borderId="2" xfId="0" applyNumberFormat="1" applyFont="1" applyBorder="1" applyAlignment="1">
      <alignment horizontal="left" vertical="center"/>
    </xf>
    <xf numFmtId="168" fontId="12" fillId="0" borderId="1" xfId="0" applyNumberFormat="1" applyFont="1" applyBorder="1" applyAlignment="1" applyProtection="1">
      <alignment horizontal="left" vertical="center"/>
      <protection locked="0"/>
    </xf>
    <xf numFmtId="168" fontId="12" fillId="0" borderId="1" xfId="0" applyNumberFormat="1"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168" fontId="12" fillId="0" borderId="0" xfId="0" applyNumberFormat="1" applyFont="1" applyAlignment="1" applyProtection="1">
      <alignment horizontal="left" vertical="center"/>
      <protection locked="0"/>
    </xf>
    <xf numFmtId="0" fontId="19" fillId="0" borderId="0" xfId="0" applyFont="1" applyAlignment="1">
      <alignment horizontal="left" vertical="center"/>
    </xf>
    <xf numFmtId="0" fontId="10" fillId="0" borderId="0" xfId="0" applyFont="1" applyAlignment="1">
      <alignment horizontal="center" vertical="center"/>
    </xf>
    <xf numFmtId="0" fontId="15" fillId="10" borderId="18" xfId="0" applyFont="1" applyFill="1" applyBorder="1" applyAlignment="1">
      <alignment horizontal="center" vertical="center"/>
    </xf>
    <xf numFmtId="0" fontId="15" fillId="10" borderId="19" xfId="0" applyFont="1" applyFill="1" applyBorder="1" applyAlignment="1">
      <alignment horizontal="center" vertical="center"/>
    </xf>
    <xf numFmtId="0" fontId="15" fillId="10" borderId="20" xfId="0" applyFont="1" applyFill="1" applyBorder="1" applyAlignment="1">
      <alignment horizontal="center" vertical="center"/>
    </xf>
    <xf numFmtId="0" fontId="15" fillId="10" borderId="19" xfId="0" applyFont="1" applyFill="1" applyBorder="1" applyAlignment="1">
      <alignment horizontal="center" vertical="center" wrapText="1"/>
    </xf>
    <xf numFmtId="0" fontId="0" fillId="0" borderId="2" xfId="0" applyBorder="1" applyAlignment="1">
      <alignment horizontal="center" vertical="center" wrapText="1"/>
    </xf>
    <xf numFmtId="44" fontId="0" fillId="0" borderId="23" xfId="0" applyNumberFormat="1" applyBorder="1" applyAlignment="1">
      <alignment horizontal="center" vertical="center"/>
    </xf>
    <xf numFmtId="0" fontId="10" fillId="0" borderId="25" xfId="0" applyFont="1" applyBorder="1"/>
    <xf numFmtId="0" fontId="14" fillId="0" borderId="0" xfId="0" applyFont="1" applyAlignment="1">
      <alignment horizontal="center"/>
    </xf>
    <xf numFmtId="0" fontId="10" fillId="0" borderId="26" xfId="0" applyFont="1" applyBorder="1"/>
    <xf numFmtId="0" fontId="0" fillId="0" borderId="27" xfId="0" applyBorder="1" applyAlignment="1">
      <alignment horizontal="center" vertical="center"/>
    </xf>
    <xf numFmtId="0" fontId="10" fillId="0" borderId="12" xfId="0" applyFont="1" applyBorder="1"/>
    <xf numFmtId="0" fontId="10" fillId="0" borderId="4" xfId="0" applyFont="1" applyBorder="1"/>
    <xf numFmtId="0" fontId="10" fillId="0" borderId="25" xfId="0" applyFont="1" applyBorder="1" applyAlignment="1">
      <alignment vertical="center"/>
    </xf>
    <xf numFmtId="0" fontId="10" fillId="0" borderId="0" xfId="0" applyFont="1" applyAlignment="1">
      <alignment vertical="center"/>
    </xf>
    <xf numFmtId="0" fontId="14" fillId="0" borderId="0" xfId="0" applyFont="1" applyAlignment="1">
      <alignment vertical="center"/>
    </xf>
    <xf numFmtId="0" fontId="10" fillId="0" borderId="26" xfId="0" applyFont="1" applyBorder="1" applyAlignment="1">
      <alignment vertical="center"/>
    </xf>
    <xf numFmtId="0" fontId="14" fillId="0" borderId="0" xfId="0" applyFont="1" applyAlignment="1">
      <alignment horizontal="left" vertical="center"/>
    </xf>
    <xf numFmtId="0" fontId="12" fillId="0" borderId="27" xfId="0" applyFont="1" applyBorder="1" applyAlignment="1">
      <alignment horizontal="center" vertical="center"/>
    </xf>
    <xf numFmtId="168" fontId="12" fillId="0" borderId="32" xfId="0" applyNumberFormat="1" applyFont="1" applyBorder="1" applyAlignment="1">
      <alignment horizontal="left" vertical="center"/>
    </xf>
    <xf numFmtId="0" fontId="12" fillId="0" borderId="33" xfId="0" applyFont="1" applyBorder="1" applyAlignment="1">
      <alignment horizontal="center" vertical="center"/>
    </xf>
    <xf numFmtId="168" fontId="12" fillId="0" borderId="34" xfId="0" applyNumberFormat="1" applyFont="1" applyBorder="1" applyAlignment="1">
      <alignment horizontal="left" vertical="center"/>
    </xf>
    <xf numFmtId="168" fontId="12" fillId="0" borderId="26" xfId="0" applyNumberFormat="1" applyFont="1" applyBorder="1" applyAlignment="1">
      <alignment horizontal="left" vertical="center"/>
    </xf>
    <xf numFmtId="0" fontId="10" fillId="0" borderId="26" xfId="0" applyFont="1" applyBorder="1" applyAlignment="1">
      <alignment horizontal="left" vertical="center"/>
    </xf>
    <xf numFmtId="0" fontId="10" fillId="0" borderId="11" xfId="0" applyFont="1" applyBorder="1"/>
    <xf numFmtId="0" fontId="0" fillId="0" borderId="25" xfId="0" applyBorder="1"/>
    <xf numFmtId="10" fontId="9" fillId="0" borderId="0" xfId="4" applyNumberFormat="1" applyFont="1" applyBorder="1"/>
    <xf numFmtId="0" fontId="0" fillId="0" borderId="26" xfId="0" applyBorder="1"/>
    <xf numFmtId="0" fontId="11" fillId="0" borderId="25" xfId="0" applyFont="1" applyBorder="1"/>
    <xf numFmtId="0" fontId="11" fillId="0" borderId="0" xfId="0" applyFont="1"/>
    <xf numFmtId="10" fontId="11" fillId="0" borderId="0" xfId="4" applyNumberFormat="1" applyFont="1" applyBorder="1"/>
    <xf numFmtId="0" fontId="11" fillId="0" borderId="26" xfId="0" applyFont="1" applyBorder="1"/>
    <xf numFmtId="164" fontId="11" fillId="0" borderId="34" xfId="1" applyFont="1" applyBorder="1" applyAlignment="1" applyProtection="1">
      <protection locked="0"/>
    </xf>
    <xf numFmtId="0" fontId="0" fillId="0" borderId="25" xfId="0" applyBorder="1" applyAlignment="1">
      <alignment horizontal="center"/>
    </xf>
    <xf numFmtId="4" fontId="0" fillId="0" borderId="26" xfId="0" applyNumberFormat="1" applyBorder="1"/>
    <xf numFmtId="0" fontId="0" fillId="0" borderId="33" xfId="0" applyBorder="1" applyAlignment="1">
      <alignment horizontal="center"/>
    </xf>
    <xf numFmtId="4" fontId="11" fillId="0" borderId="34" xfId="0" applyNumberFormat="1" applyFont="1" applyBorder="1"/>
    <xf numFmtId="10" fontId="9" fillId="0" borderId="0" xfId="4" applyNumberFormat="1" applyFont="1" applyFill="1" applyBorder="1"/>
    <xf numFmtId="10" fontId="11" fillId="0" borderId="0" xfId="4" applyNumberFormat="1" applyFont="1" applyFill="1" applyBorder="1"/>
    <xf numFmtId="0" fontId="0" fillId="0" borderId="25" xfId="0" applyBorder="1" applyAlignment="1">
      <alignment horizontal="left"/>
    </xf>
    <xf numFmtId="0" fontId="0" fillId="0" borderId="0" xfId="0" applyAlignment="1">
      <alignment horizontal="left"/>
    </xf>
    <xf numFmtId="10" fontId="9" fillId="0" borderId="0" xfId="4" applyNumberFormat="1" applyFont="1" applyBorder="1" applyAlignment="1">
      <alignment horizontal="left"/>
    </xf>
    <xf numFmtId="0" fontId="11" fillId="0" borderId="25" xfId="0" applyFont="1" applyBorder="1" applyAlignment="1">
      <alignment horizontal="left"/>
    </xf>
    <xf numFmtId="0" fontId="11" fillId="0" borderId="0" xfId="0" applyFont="1" applyAlignment="1">
      <alignment horizontal="left"/>
    </xf>
    <xf numFmtId="4" fontId="11" fillId="0" borderId="26" xfId="0" applyNumberFormat="1" applyFont="1" applyBorder="1"/>
    <xf numFmtId="0" fontId="0" fillId="3" borderId="0" xfId="0" applyFill="1" applyAlignment="1">
      <alignment horizontal="center"/>
    </xf>
    <xf numFmtId="0" fontId="0" fillId="3" borderId="0" xfId="0" applyFill="1"/>
    <xf numFmtId="10" fontId="9" fillId="3" borderId="0" xfId="4" applyNumberFormat="1" applyFont="1" applyFill="1"/>
    <xf numFmtId="4" fontId="0" fillId="3" borderId="0" xfId="0" applyNumberFormat="1" applyFill="1"/>
    <xf numFmtId="0" fontId="11" fillId="3" borderId="0" xfId="0" applyFont="1" applyFill="1"/>
    <xf numFmtId="10" fontId="11" fillId="3" borderId="0" xfId="4" applyNumberFormat="1" applyFont="1" applyFill="1"/>
    <xf numFmtId="164" fontId="11" fillId="3" borderId="1" xfId="1" applyFont="1" applyFill="1" applyBorder="1" applyAlignment="1" applyProtection="1">
      <protection locked="0"/>
    </xf>
    <xf numFmtId="0" fontId="0" fillId="3" borderId="1" xfId="0" applyFill="1" applyBorder="1" applyAlignment="1">
      <alignment horizontal="center"/>
    </xf>
    <xf numFmtId="0" fontId="0" fillId="3" borderId="1" xfId="0" applyFill="1" applyBorder="1"/>
    <xf numFmtId="10" fontId="11" fillId="3" borderId="1" xfId="4" applyNumberFormat="1" applyFont="1" applyFill="1" applyBorder="1"/>
    <xf numFmtId="44" fontId="0" fillId="3" borderId="1" xfId="0" applyNumberFormat="1" applyFill="1" applyBorder="1" applyAlignment="1">
      <alignment horizontal="center" vertical="center"/>
    </xf>
    <xf numFmtId="0" fontId="0" fillId="3" borderId="0" xfId="0" applyFill="1" applyAlignment="1">
      <alignment horizontal="left"/>
    </xf>
    <xf numFmtId="10" fontId="9" fillId="3" borderId="0" xfId="4" applyNumberFormat="1" applyFont="1" applyFill="1" applyAlignment="1">
      <alignment horizontal="left"/>
    </xf>
    <xf numFmtId="0" fontId="11" fillId="3" borderId="0" xfId="0" applyFont="1" applyFill="1" applyAlignment="1">
      <alignment horizontal="left"/>
    </xf>
    <xf numFmtId="0" fontId="18" fillId="3" borderId="1" xfId="3" applyFont="1" applyFill="1" applyBorder="1" applyAlignment="1">
      <alignment horizontal="center" vertical="center"/>
    </xf>
    <xf numFmtId="44" fontId="0" fillId="0" borderId="34" xfId="0" applyNumberFormat="1" applyBorder="1" applyAlignment="1">
      <alignment horizontal="center" vertical="center"/>
    </xf>
    <xf numFmtId="44" fontId="11" fillId="0" borderId="1" xfId="0" applyNumberFormat="1" applyFont="1" applyBorder="1" applyAlignment="1">
      <alignment horizontal="center" vertical="center"/>
    </xf>
    <xf numFmtId="44" fontId="11" fillId="3" borderId="1" xfId="0" applyNumberFormat="1" applyFont="1" applyFill="1" applyBorder="1" applyAlignment="1">
      <alignment horizontal="center" vertical="center"/>
    </xf>
    <xf numFmtId="44" fontId="17" fillId="3" borderId="1" xfId="3" applyNumberFormat="1" applyFont="1" applyFill="1" applyBorder="1" applyAlignment="1">
      <alignment horizontal="center" vertical="center"/>
    </xf>
    <xf numFmtId="44" fontId="0" fillId="0" borderId="1" xfId="0" applyNumberFormat="1" applyBorder="1" applyAlignment="1" applyProtection="1">
      <alignment horizontal="center" vertical="center"/>
      <protection locked="0"/>
    </xf>
    <xf numFmtId="44" fontId="0" fillId="3" borderId="1" xfId="0" applyNumberFormat="1" applyFill="1" applyBorder="1" applyAlignment="1" applyProtection="1">
      <alignment horizontal="center" vertical="center"/>
      <protection locked="0"/>
    </xf>
    <xf numFmtId="44" fontId="0" fillId="3" borderId="0" xfId="0" applyNumberFormat="1" applyFill="1" applyAlignment="1">
      <alignment horizontal="center" vertical="center"/>
    </xf>
    <xf numFmtId="44" fontId="11" fillId="3" borderId="0" xfId="0" applyNumberFormat="1" applyFont="1" applyFill="1" applyAlignment="1">
      <alignment horizontal="center" vertical="center"/>
    </xf>
    <xf numFmtId="4" fontId="11" fillId="7" borderId="1" xfId="0" applyNumberFormat="1" applyFont="1" applyFill="1" applyBorder="1" applyAlignment="1">
      <alignment horizontal="center"/>
    </xf>
    <xf numFmtId="10" fontId="11" fillId="7" borderId="1" xfId="4" applyNumberFormat="1" applyFont="1" applyFill="1" applyBorder="1" applyAlignment="1">
      <alignment horizontal="center"/>
    </xf>
    <xf numFmtId="0" fontId="0" fillId="7" borderId="1" xfId="0" applyFill="1" applyBorder="1" applyAlignment="1">
      <alignment horizontal="center"/>
    </xf>
    <xf numFmtId="4" fontId="11" fillId="4" borderId="1" xfId="0" applyNumberFormat="1" applyFont="1" applyFill="1" applyBorder="1"/>
    <xf numFmtId="44" fontId="11" fillId="4" borderId="1" xfId="0" applyNumberFormat="1" applyFont="1" applyFill="1" applyBorder="1" applyAlignment="1">
      <alignment horizontal="center" vertical="center"/>
    </xf>
    <xf numFmtId="0" fontId="0" fillId="7" borderId="33" xfId="0" applyFill="1" applyBorder="1" applyAlignment="1">
      <alignment horizontal="center"/>
    </xf>
    <xf numFmtId="4" fontId="11" fillId="7" borderId="34" xfId="0" applyNumberFormat="1" applyFont="1" applyFill="1" applyBorder="1" applyAlignment="1">
      <alignment horizontal="center"/>
    </xf>
    <xf numFmtId="44" fontId="11" fillId="0" borderId="34" xfId="0" applyNumberFormat="1" applyFont="1" applyBorder="1"/>
    <xf numFmtId="10" fontId="15" fillId="7" borderId="1" xfId="4" applyNumberFormat="1" applyFont="1" applyFill="1" applyBorder="1" applyAlignment="1">
      <alignment horizontal="center"/>
    </xf>
    <xf numFmtId="44" fontId="0" fillId="0" borderId="34" xfId="0" applyNumberFormat="1" applyBorder="1"/>
    <xf numFmtId="44" fontId="11" fillId="0" borderId="34" xfId="0" applyNumberFormat="1" applyFont="1" applyBorder="1" applyAlignment="1">
      <alignment horizontal="center"/>
    </xf>
    <xf numFmtId="44" fontId="11" fillId="0" borderId="34" xfId="0" applyNumberFormat="1" applyFont="1" applyBorder="1" applyAlignment="1">
      <alignment horizontal="center" vertical="center"/>
    </xf>
    <xf numFmtId="44" fontId="0" fillId="0" borderId="34" xfId="0" applyNumberFormat="1" applyBorder="1" applyAlignment="1" applyProtection="1">
      <alignment horizontal="center"/>
      <protection locked="0"/>
    </xf>
    <xf numFmtId="44" fontId="0" fillId="0" borderId="34" xfId="0" applyNumberFormat="1" applyBorder="1" applyAlignment="1" applyProtection="1">
      <alignment horizontal="center" vertical="center"/>
      <protection locked="0"/>
    </xf>
    <xf numFmtId="44" fontId="0" fillId="0" borderId="26" xfId="0" applyNumberFormat="1" applyBorder="1"/>
    <xf numFmtId="44" fontId="0" fillId="0" borderId="26" xfId="0" applyNumberFormat="1" applyBorder="1" applyAlignment="1">
      <alignment horizontal="center" vertical="center"/>
    </xf>
    <xf numFmtId="44" fontId="11" fillId="0" borderId="26" xfId="0" applyNumberFormat="1" applyFont="1" applyBorder="1" applyAlignment="1">
      <alignment horizontal="center" vertical="center"/>
    </xf>
    <xf numFmtId="44" fontId="11" fillId="4" borderId="34" xfId="0" applyNumberFormat="1" applyFont="1" applyFill="1" applyBorder="1" applyAlignment="1">
      <alignment horizontal="center" vertical="center"/>
    </xf>
    <xf numFmtId="4" fontId="11" fillId="4" borderId="34" xfId="0" applyNumberFormat="1" applyFont="1" applyFill="1" applyBorder="1"/>
    <xf numFmtId="44" fontId="11" fillId="4" borderId="34" xfId="0" applyNumberFormat="1" applyFont="1" applyFill="1" applyBorder="1"/>
    <xf numFmtId="10" fontId="15" fillId="4" borderId="1" xfId="4" applyNumberFormat="1" applyFont="1" applyFill="1" applyBorder="1"/>
    <xf numFmtId="10" fontId="11" fillId="4" borderId="1" xfId="4" applyNumberFormat="1" applyFont="1" applyFill="1" applyBorder="1"/>
    <xf numFmtId="44" fontId="11" fillId="4" borderId="34" xfId="0" applyNumberFormat="1" applyFont="1" applyFill="1" applyBorder="1" applyAlignment="1">
      <alignment horizontal="center"/>
    </xf>
    <xf numFmtId="0" fontId="1" fillId="0" borderId="33" xfId="3" applyBorder="1" applyAlignment="1">
      <alignment horizontal="center" vertical="center"/>
    </xf>
    <xf numFmtId="44" fontId="1" fillId="3" borderId="1" xfId="6" applyNumberFormat="1" applyFont="1" applyFill="1" applyBorder="1" applyAlignment="1" applyProtection="1">
      <alignment horizontal="center" vertical="center"/>
      <protection locked="0"/>
    </xf>
    <xf numFmtId="0" fontId="17" fillId="0" borderId="0" xfId="0" applyFont="1" applyAlignment="1">
      <alignment horizontal="center" vertical="center"/>
    </xf>
    <xf numFmtId="44" fontId="17" fillId="8" borderId="10" xfId="0" applyNumberFormat="1" applyFont="1" applyFill="1" applyBorder="1" applyAlignment="1">
      <alignment vertical="center"/>
    </xf>
    <xf numFmtId="0" fontId="17" fillId="0" borderId="10" xfId="0" applyFont="1" applyBorder="1" applyAlignment="1">
      <alignment horizontal="center" vertical="center"/>
    </xf>
    <xf numFmtId="44" fontId="17" fillId="0" borderId="15" xfId="0" applyNumberFormat="1" applyFont="1" applyBorder="1" applyAlignment="1">
      <alignment horizontal="center" vertical="center"/>
    </xf>
    <xf numFmtId="0" fontId="0" fillId="0" borderId="28" xfId="0" applyBorder="1" applyAlignment="1">
      <alignment horizontal="center"/>
    </xf>
    <xf numFmtId="0" fontId="0" fillId="0" borderId="43" xfId="0" applyBorder="1"/>
    <xf numFmtId="0" fontId="0" fillId="0" borderId="45" xfId="0" applyBorder="1"/>
    <xf numFmtId="0" fontId="0" fillId="0" borderId="44" xfId="0" applyBorder="1"/>
    <xf numFmtId="10" fontId="11" fillId="7" borderId="1" xfId="4" applyNumberFormat="1" applyFont="1" applyFill="1" applyBorder="1" applyAlignment="1">
      <alignment horizontal="right"/>
    </xf>
    <xf numFmtId="164" fontId="11" fillId="0" borderId="34" xfId="1" applyFont="1" applyBorder="1" applyAlignment="1"/>
    <xf numFmtId="0" fontId="1" fillId="3" borderId="33" xfId="3" applyFill="1" applyBorder="1" applyAlignment="1">
      <alignment horizontal="center" vertical="center"/>
    </xf>
    <xf numFmtId="10" fontId="11" fillId="7" borderId="1" xfId="4" applyNumberFormat="1" applyFont="1" applyFill="1" applyBorder="1"/>
    <xf numFmtId="44" fontId="11" fillId="7" borderId="34" xfId="0" applyNumberFormat="1" applyFont="1" applyFill="1" applyBorder="1"/>
    <xf numFmtId="0" fontId="15" fillId="10" borderId="21"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22" xfId="0" applyFont="1" applyFill="1" applyBorder="1" applyAlignment="1">
      <alignment horizontal="center" vertical="center"/>
    </xf>
    <xf numFmtId="0" fontId="15" fillId="10" borderId="10" xfId="0" applyFont="1" applyFill="1" applyBorder="1" applyAlignment="1">
      <alignment horizontal="center" vertical="center"/>
    </xf>
    <xf numFmtId="0" fontId="6" fillId="0" borderId="1" xfId="0" applyFont="1" applyBorder="1" applyAlignment="1">
      <alignment horizontal="center" vertical="center" wrapText="1"/>
    </xf>
    <xf numFmtId="0" fontId="7" fillId="3" borderId="33" xfId="0" applyFont="1" applyFill="1" applyBorder="1" applyAlignment="1">
      <alignment horizontal="center" vertical="center"/>
    </xf>
    <xf numFmtId="44" fontId="1" fillId="3" borderId="34" xfId="6" applyNumberFormat="1" applyFont="1" applyFill="1" applyBorder="1" applyAlignment="1" applyProtection="1">
      <alignment horizontal="center" vertical="center"/>
      <protection locked="0"/>
    </xf>
    <xf numFmtId="0" fontId="7" fillId="3" borderId="27" xfId="0" applyFont="1" applyFill="1" applyBorder="1" applyAlignment="1">
      <alignment horizontal="center" vertical="center"/>
    </xf>
    <xf numFmtId="0" fontId="6" fillId="0" borderId="2" xfId="0" applyFont="1" applyBorder="1" applyAlignment="1">
      <alignment horizontal="center" vertical="center" wrapText="1"/>
    </xf>
    <xf numFmtId="44" fontId="1" fillId="3" borderId="2" xfId="6" applyNumberFormat="1" applyFont="1" applyFill="1" applyBorder="1" applyAlignment="1" applyProtection="1">
      <alignment horizontal="center" vertical="center"/>
      <protection locked="0"/>
    </xf>
    <xf numFmtId="44" fontId="1" fillId="3" borderId="32" xfId="6" applyNumberFormat="1" applyFont="1" applyFill="1" applyBorder="1" applyAlignment="1" applyProtection="1">
      <alignment horizontal="center" vertical="center"/>
      <protection locked="0"/>
    </xf>
    <xf numFmtId="44" fontId="8" fillId="12" borderId="50" xfId="12" applyNumberFormat="1" applyFont="1" applyFill="1" applyBorder="1" applyAlignment="1">
      <alignment horizontal="center" vertical="center" wrapText="1"/>
    </xf>
    <xf numFmtId="44" fontId="8" fillId="12" borderId="51" xfId="12" applyNumberFormat="1" applyFont="1" applyFill="1" applyBorder="1" applyAlignment="1">
      <alignment horizontal="center" vertical="center" wrapText="1"/>
    </xf>
    <xf numFmtId="44" fontId="8" fillId="12" borderId="52" xfId="12" applyNumberFormat="1" applyFont="1" applyFill="1" applyBorder="1" applyAlignment="1">
      <alignment horizontal="center" vertical="center" wrapText="1"/>
    </xf>
    <xf numFmtId="44" fontId="8" fillId="12" borderId="21" xfId="12" applyNumberFormat="1" applyFont="1" applyFill="1" applyBorder="1" applyAlignment="1">
      <alignment horizontal="center" vertical="center" wrapText="1"/>
    </xf>
    <xf numFmtId="44" fontId="8" fillId="12" borderId="15" xfId="12" applyNumberFormat="1" applyFont="1" applyFill="1" applyBorder="1" applyAlignment="1">
      <alignment horizontal="center" vertical="center" wrapText="1"/>
    </xf>
    <xf numFmtId="44" fontId="8" fillId="12" borderId="10" xfId="12" applyNumberFormat="1" applyFont="1" applyFill="1" applyBorder="1" applyAlignment="1">
      <alignment horizontal="center" vertical="center" wrapText="1"/>
    </xf>
    <xf numFmtId="0" fontId="7" fillId="0" borderId="14" xfId="0" applyFont="1" applyBorder="1" applyAlignment="1">
      <alignment horizontal="center" vertical="center"/>
    </xf>
    <xf numFmtId="0" fontId="7" fillId="0" borderId="43" xfId="0" applyFont="1" applyBorder="1" applyAlignment="1">
      <alignment horizontal="center" vertical="center"/>
    </xf>
    <xf numFmtId="0" fontId="7" fillId="0" borderId="43" xfId="0" applyFont="1" applyBorder="1" applyAlignment="1">
      <alignment horizontal="center" vertical="center" wrapText="1"/>
    </xf>
    <xf numFmtId="0" fontId="7" fillId="0" borderId="46" xfId="0" applyFont="1" applyBorder="1" applyAlignment="1">
      <alignment horizontal="center" vertical="center" wrapText="1"/>
    </xf>
    <xf numFmtId="44" fontId="1" fillId="3" borderId="13" xfId="6" applyNumberFormat="1" applyFont="1" applyFill="1" applyBorder="1" applyAlignment="1" applyProtection="1">
      <alignment horizontal="center" vertical="center"/>
      <protection locked="0"/>
    </xf>
    <xf numFmtId="44" fontId="1" fillId="3" borderId="44" xfId="6" applyNumberFormat="1" applyFont="1" applyFill="1" applyBorder="1" applyAlignment="1" applyProtection="1">
      <alignment horizontal="center" vertical="center"/>
      <protection locked="0"/>
    </xf>
    <xf numFmtId="44" fontId="8" fillId="12" borderId="53" xfId="12" applyNumberFormat="1" applyFont="1" applyFill="1" applyBorder="1" applyAlignment="1">
      <alignment horizontal="center" vertical="center" wrapText="1"/>
    </xf>
    <xf numFmtId="44" fontId="1" fillId="3" borderId="27" xfId="6" applyNumberFormat="1" applyFont="1" applyFill="1" applyBorder="1" applyAlignment="1" applyProtection="1">
      <alignment horizontal="center" vertical="center"/>
      <protection locked="0"/>
    </xf>
    <xf numFmtId="44" fontId="1" fillId="3" borderId="33" xfId="6" applyNumberFormat="1" applyFont="1" applyFill="1" applyBorder="1" applyAlignment="1" applyProtection="1">
      <alignment horizontal="center" vertical="center"/>
      <protection locked="0"/>
    </xf>
    <xf numFmtId="44" fontId="8" fillId="12" borderId="5" xfId="12" applyNumberFormat="1" applyFont="1" applyFill="1" applyBorder="1" applyAlignment="1">
      <alignment horizontal="center" vertical="center" wrapText="1"/>
    </xf>
    <xf numFmtId="0" fontId="0" fillId="3" borderId="28" xfId="0" applyFill="1" applyBorder="1" applyAlignment="1">
      <alignment horizontal="center"/>
    </xf>
    <xf numFmtId="0" fontId="0" fillId="3" borderId="43" xfId="0" applyFill="1" applyBorder="1"/>
    <xf numFmtId="0" fontId="0" fillId="3" borderId="45" xfId="0" applyFill="1" applyBorder="1"/>
    <xf numFmtId="0" fontId="0" fillId="3" borderId="44" xfId="0" applyFill="1" applyBorder="1"/>
    <xf numFmtId="44" fontId="0" fillId="3" borderId="34" xfId="0" applyNumberFormat="1" applyFill="1" applyBorder="1" applyAlignment="1">
      <alignment horizontal="center"/>
    </xf>
    <xf numFmtId="0" fontId="0" fillId="3" borderId="33" xfId="0" applyFill="1" applyBorder="1" applyAlignment="1">
      <alignment horizontal="center"/>
    </xf>
    <xf numFmtId="0" fontId="15" fillId="10" borderId="15" xfId="0" applyFont="1" applyFill="1" applyBorder="1" applyAlignment="1">
      <alignment horizontal="center" vertical="center" wrapText="1"/>
    </xf>
    <xf numFmtId="0" fontId="0" fillId="0" borderId="43" xfId="0" applyBorder="1" applyAlignment="1">
      <alignment vertical="center"/>
    </xf>
    <xf numFmtId="0" fontId="0" fillId="0" borderId="45" xfId="0" applyBorder="1" applyAlignment="1">
      <alignment vertical="center"/>
    </xf>
    <xf numFmtId="0" fontId="0" fillId="0" borderId="44" xfId="0" applyBorder="1" applyAlignment="1">
      <alignment vertical="center"/>
    </xf>
    <xf numFmtId="44" fontId="11" fillId="7" borderId="34" xfId="0" applyNumberFormat="1" applyFont="1" applyFill="1" applyBorder="1" applyAlignment="1">
      <alignment horizontal="center"/>
    </xf>
    <xf numFmtId="44" fontId="11" fillId="5" borderId="34" xfId="0" applyNumberFormat="1" applyFont="1" applyFill="1" applyBorder="1"/>
    <xf numFmtId="164" fontId="11" fillId="0" borderId="34" xfId="1" applyFont="1" applyBorder="1" applyAlignment="1" applyProtection="1">
      <alignment horizontal="center" vertical="center"/>
      <protection locked="0"/>
    </xf>
    <xf numFmtId="164" fontId="11" fillId="3" borderId="34" xfId="1" applyFont="1" applyFill="1" applyBorder="1" applyAlignment="1" applyProtection="1">
      <protection locked="0"/>
    </xf>
    <xf numFmtId="0" fontId="23" fillId="4" borderId="8" xfId="0" applyFont="1" applyFill="1" applyBorder="1" applyAlignment="1">
      <alignment horizontal="center" vertical="center"/>
    </xf>
    <xf numFmtId="0" fontId="23" fillId="4" borderId="12" xfId="0" applyFont="1" applyFill="1" applyBorder="1" applyAlignment="1">
      <alignment horizontal="center" vertical="center"/>
    </xf>
    <xf numFmtId="44" fontId="6" fillId="12" borderId="8" xfId="12" applyNumberFormat="1" applyFont="1" applyFill="1" applyBorder="1" applyAlignment="1">
      <alignment horizontal="center" vertical="center" wrapText="1"/>
    </xf>
    <xf numFmtId="44" fontId="6" fillId="12" borderId="12" xfId="12" applyNumberFormat="1" applyFont="1" applyFill="1" applyBorder="1" applyAlignment="1">
      <alignment horizontal="center" vertical="center" wrapText="1"/>
    </xf>
    <xf numFmtId="44" fontId="7" fillId="0" borderId="17" xfId="0" applyNumberFormat="1" applyFont="1" applyBorder="1" applyAlignment="1">
      <alignment horizontal="center" vertical="center"/>
    </xf>
    <xf numFmtId="44" fontId="8" fillId="12" borderId="55" xfId="12" applyNumberFormat="1" applyFont="1" applyFill="1" applyBorder="1" applyAlignment="1">
      <alignment horizontal="center" vertical="center" wrapText="1"/>
    </xf>
    <xf numFmtId="44" fontId="17" fillId="8" borderId="15" xfId="0" applyNumberFormat="1" applyFont="1" applyFill="1" applyBorder="1" applyAlignment="1">
      <alignment vertical="center"/>
    </xf>
    <xf numFmtId="0" fontId="0" fillId="0" borderId="1" xfId="0" applyBorder="1" applyAlignment="1">
      <alignment horizontal="center"/>
    </xf>
    <xf numFmtId="0" fontId="26" fillId="0" borderId="0" xfId="14"/>
    <xf numFmtId="0" fontId="27" fillId="0" borderId="0" xfId="14" applyFont="1"/>
    <xf numFmtId="0" fontId="28" fillId="0" borderId="0" xfId="14" applyFont="1"/>
    <xf numFmtId="0" fontId="28" fillId="0" borderId="0" xfId="14" applyFont="1" applyAlignment="1">
      <alignment horizontal="left"/>
    </xf>
    <xf numFmtId="165" fontId="27" fillId="0" borderId="0" xfId="15" applyFont="1" applyProtection="1"/>
    <xf numFmtId="0" fontId="27" fillId="0" borderId="0" xfId="14" applyFont="1" applyAlignment="1">
      <alignment horizontal="left" vertical="top" wrapText="1"/>
    </xf>
    <xf numFmtId="0" fontId="27" fillId="0" borderId="0" xfId="14" applyFont="1" applyAlignment="1">
      <alignment vertical="top" wrapText="1"/>
    </xf>
    <xf numFmtId="0" fontId="29" fillId="0" borderId="0" xfId="14" applyFont="1" applyAlignment="1">
      <alignment horizontal="left" vertical="center" wrapText="1"/>
    </xf>
    <xf numFmtId="0" fontId="28" fillId="0" borderId="0" xfId="14" applyFont="1" applyAlignment="1">
      <alignment vertical="top" wrapText="1"/>
    </xf>
    <xf numFmtId="0" fontId="13" fillId="0" borderId="0" xfId="0" applyFont="1" applyAlignment="1">
      <alignment horizontal="right" vertical="center"/>
    </xf>
    <xf numFmtId="0" fontId="28" fillId="0" borderId="0" xfId="14" applyFont="1" applyAlignment="1">
      <alignment horizontal="right"/>
    </xf>
    <xf numFmtId="0" fontId="27" fillId="0" borderId="0" xfId="14" applyFont="1" applyProtection="1">
      <protection locked="0"/>
    </xf>
    <xf numFmtId="0" fontId="27" fillId="0" borderId="0" xfId="14" applyFont="1" applyAlignment="1" applyProtection="1">
      <alignment vertical="top" wrapText="1"/>
      <protection locked="0"/>
    </xf>
    <xf numFmtId="0" fontId="27" fillId="0" borderId="0" xfId="14" applyFont="1" applyAlignment="1" applyProtection="1">
      <alignment horizontal="left" vertical="top" wrapText="1"/>
      <protection locked="0"/>
    </xf>
    <xf numFmtId="165" fontId="27" fillId="0" borderId="0" xfId="15" applyFont="1" applyProtection="1">
      <protection locked="0"/>
    </xf>
    <xf numFmtId="0" fontId="27" fillId="0" borderId="0" xfId="14" applyFont="1" applyAlignment="1" applyProtection="1">
      <alignment horizontal="left" vertical="center" wrapText="1"/>
      <protection locked="0"/>
    </xf>
    <xf numFmtId="0" fontId="27" fillId="0" borderId="25" xfId="14" applyFont="1" applyBorder="1" applyProtection="1">
      <protection locked="0"/>
    </xf>
    <xf numFmtId="165" fontId="27" fillId="0" borderId="0" xfId="15" applyFont="1" applyBorder="1" applyProtection="1">
      <protection locked="0"/>
    </xf>
    <xf numFmtId="0" fontId="13" fillId="0" borderId="26" xfId="0" applyFont="1" applyBorder="1" applyAlignment="1">
      <alignment vertical="center"/>
    </xf>
    <xf numFmtId="0" fontId="28" fillId="0" borderId="25" xfId="14" applyFont="1" applyBorder="1" applyAlignment="1" applyProtection="1">
      <alignment horizontal="left" vertical="center"/>
      <protection locked="0"/>
    </xf>
    <xf numFmtId="0" fontId="28" fillId="0" borderId="0" xfId="14" applyFont="1" applyAlignment="1" applyProtection="1">
      <alignment vertical="top" wrapText="1"/>
      <protection locked="0"/>
    </xf>
    <xf numFmtId="0" fontId="27" fillId="0" borderId="25" xfId="14" applyFont="1" applyBorder="1" applyAlignment="1">
      <alignment vertical="center"/>
    </xf>
    <xf numFmtId="0" fontId="27" fillId="0" borderId="0" xfId="14" applyFont="1" applyAlignment="1">
      <alignment vertical="center"/>
    </xf>
    <xf numFmtId="0" fontId="27" fillId="0" borderId="25" xfId="14" applyFont="1" applyBorder="1" applyAlignment="1" applyProtection="1">
      <alignment horizontal="left" vertical="center"/>
      <protection locked="0"/>
    </xf>
    <xf numFmtId="0" fontId="27" fillId="0" borderId="25" xfId="14" applyFont="1" applyBorder="1" applyAlignment="1" applyProtection="1">
      <alignment horizontal="left" vertical="center" wrapText="1"/>
      <protection locked="0"/>
    </xf>
    <xf numFmtId="0" fontId="27" fillId="0" borderId="11" xfId="14" applyFont="1" applyBorder="1" applyProtection="1">
      <protection locked="0"/>
    </xf>
    <xf numFmtId="0" fontId="27" fillId="0" borderId="12" xfId="14" applyFont="1" applyBorder="1" applyAlignment="1" applyProtection="1">
      <alignment vertical="center" wrapText="1"/>
      <protection locked="0"/>
    </xf>
    <xf numFmtId="0" fontId="13" fillId="0" borderId="12" xfId="0" applyFont="1" applyBorder="1" applyAlignment="1">
      <alignment vertical="center"/>
    </xf>
    <xf numFmtId="0" fontId="13" fillId="0" borderId="4" xfId="0" applyFont="1" applyBorder="1" applyAlignment="1">
      <alignment vertical="center"/>
    </xf>
    <xf numFmtId="0" fontId="28" fillId="0" borderId="0" xfId="14" applyFont="1" applyAlignment="1">
      <alignment horizontal="right" vertical="center"/>
    </xf>
    <xf numFmtId="0" fontId="27" fillId="0" borderId="12" xfId="14" applyFont="1" applyBorder="1" applyAlignment="1" applyProtection="1">
      <alignment horizontal="center" vertical="center" wrapText="1"/>
      <protection locked="0"/>
    </xf>
    <xf numFmtId="10" fontId="2" fillId="3" borderId="1" xfId="5" applyNumberFormat="1" applyFill="1" applyBorder="1" applyAlignment="1" applyProtection="1">
      <alignment horizontal="right" vertical="center"/>
    </xf>
    <xf numFmtId="169" fontId="2" fillId="3" borderId="1" xfId="5" applyNumberFormat="1" applyFill="1" applyBorder="1" applyAlignment="1" applyProtection="1">
      <alignment horizontal="right" vertical="center"/>
    </xf>
    <xf numFmtId="10" fontId="16" fillId="3" borderId="1" xfId="0" applyNumberFormat="1" applyFont="1" applyFill="1" applyBorder="1"/>
    <xf numFmtId="10" fontId="5" fillId="3" borderId="1" xfId="0" applyNumberFormat="1" applyFont="1" applyFill="1" applyBorder="1"/>
    <xf numFmtId="44" fontId="1" fillId="3" borderId="1" xfId="3" applyNumberFormat="1" applyFill="1" applyBorder="1" applyAlignment="1">
      <alignment horizontal="center" vertical="center"/>
    </xf>
    <xf numFmtId="44" fontId="11" fillId="4" borderId="1" xfId="0" applyNumberFormat="1" applyFont="1" applyFill="1" applyBorder="1"/>
    <xf numFmtId="169" fontId="2" fillId="0" borderId="1" xfId="5" applyNumberFormat="1" applyFill="1" applyBorder="1" applyAlignment="1" applyProtection="1">
      <alignment horizontal="right" vertical="center"/>
    </xf>
    <xf numFmtId="10" fontId="2" fillId="0" borderId="1" xfId="5" applyNumberFormat="1" applyFill="1" applyBorder="1" applyAlignment="1" applyProtection="1">
      <alignment horizontal="right" vertical="center"/>
    </xf>
    <xf numFmtId="44" fontId="1" fillId="0" borderId="34" xfId="3" applyNumberFormat="1" applyBorder="1" applyAlignment="1">
      <alignment horizontal="center" vertical="center"/>
    </xf>
    <xf numFmtId="44" fontId="1" fillId="3" borderId="34" xfId="3" applyNumberFormat="1" applyFill="1" applyBorder="1" applyAlignment="1">
      <alignment horizontal="center" vertical="center"/>
    </xf>
    <xf numFmtId="44" fontId="0" fillId="0" borderId="1" xfId="0" applyNumberFormat="1" applyBorder="1" applyAlignment="1">
      <alignment horizontal="center" vertical="center"/>
    </xf>
    <xf numFmtId="44" fontId="11" fillId="4" borderId="40" xfId="0" applyNumberFormat="1" applyFont="1" applyFill="1" applyBorder="1" applyAlignment="1">
      <alignment horizontal="center" vertical="center"/>
    </xf>
    <xf numFmtId="44" fontId="0" fillId="0" borderId="34" xfId="0" applyNumberFormat="1" applyBorder="1" applyAlignment="1">
      <alignment horizontal="center"/>
    </xf>
    <xf numFmtId="4" fontId="0" fillId="0" borderId="34" xfId="0" applyNumberFormat="1" applyBorder="1"/>
    <xf numFmtId="44" fontId="0" fillId="0" borderId="1" xfId="0" applyNumberFormat="1" applyBorder="1"/>
    <xf numFmtId="44" fontId="1" fillId="0" borderId="34" xfId="3" applyNumberFormat="1" applyBorder="1" applyAlignment="1">
      <alignment horizontal="right" vertical="center"/>
    </xf>
    <xf numFmtId="44" fontId="1" fillId="3" borderId="34" xfId="3" applyNumberFormat="1" applyFill="1" applyBorder="1" applyAlignment="1">
      <alignment horizontal="right" vertical="center"/>
    </xf>
    <xf numFmtId="44" fontId="0" fillId="3" borderId="34" xfId="0" applyNumberFormat="1" applyFill="1" applyBorder="1" applyAlignment="1">
      <alignment horizontal="center" vertical="center"/>
    </xf>
    <xf numFmtId="10" fontId="16" fillId="0" borderId="1" xfId="0" applyNumberFormat="1" applyFont="1" applyBorder="1" applyAlignment="1">
      <alignment horizontal="right"/>
    </xf>
    <xf numFmtId="10" fontId="5" fillId="0" borderId="1" xfId="0" applyNumberFormat="1" applyFont="1" applyBorder="1" applyAlignment="1">
      <alignment horizontal="right"/>
    </xf>
    <xf numFmtId="44" fontId="11" fillId="4" borderId="40" xfId="0" applyNumberFormat="1" applyFont="1" applyFill="1" applyBorder="1"/>
    <xf numFmtId="44" fontId="0" fillId="3" borderId="34" xfId="0" applyNumberFormat="1" applyFill="1" applyBorder="1"/>
    <xf numFmtId="44" fontId="11" fillId="0" borderId="40" xfId="0" applyNumberFormat="1" applyFont="1" applyBorder="1"/>
    <xf numFmtId="44" fontId="12" fillId="0" borderId="34" xfId="0" applyNumberFormat="1" applyFont="1" applyBorder="1"/>
    <xf numFmtId="10" fontId="9" fillId="0" borderId="1" xfId="4" applyNumberFormat="1" applyFont="1" applyFill="1" applyBorder="1" applyProtection="1">
      <protection locked="0"/>
    </xf>
    <xf numFmtId="9" fontId="0" fillId="0" borderId="1" xfId="0" applyNumberFormat="1" applyBorder="1" applyAlignment="1" applyProtection="1">
      <alignment horizontal="center" vertical="center"/>
      <protection locked="0"/>
    </xf>
    <xf numFmtId="10" fontId="9" fillId="3" borderId="1" xfId="4" applyNumberFormat="1" applyFont="1" applyFill="1" applyBorder="1" applyProtection="1">
      <protection locked="0"/>
    </xf>
    <xf numFmtId="9" fontId="0" fillId="3" borderId="1" xfId="0" applyNumberFormat="1" applyFill="1" applyBorder="1" applyAlignment="1" applyProtection="1">
      <alignment horizontal="center" vertical="center"/>
      <protection locked="0"/>
    </xf>
    <xf numFmtId="44" fontId="0" fillId="0" borderId="1" xfId="0" applyNumberFormat="1" applyBorder="1" applyAlignment="1" applyProtection="1">
      <alignment vertical="center"/>
      <protection locked="0"/>
    </xf>
    <xf numFmtId="0" fontId="12" fillId="0" borderId="0" xfId="0" applyFont="1"/>
    <xf numFmtId="0" fontId="15" fillId="0" borderId="25" xfId="0" applyFont="1" applyBorder="1"/>
    <xf numFmtId="0" fontId="15" fillId="0" borderId="0" xfId="0" applyFont="1"/>
    <xf numFmtId="10" fontId="15" fillId="0" borderId="0" xfId="4" applyNumberFormat="1" applyFont="1" applyBorder="1"/>
    <xf numFmtId="0" fontId="15" fillId="0" borderId="26" xfId="0" applyFont="1" applyBorder="1"/>
    <xf numFmtId="164" fontId="15" fillId="0" borderId="34" xfId="1" applyFont="1" applyBorder="1" applyAlignment="1" applyProtection="1">
      <protection locked="0"/>
    </xf>
    <xf numFmtId="0" fontId="12" fillId="0" borderId="25" xfId="0" applyFont="1" applyBorder="1" applyAlignment="1">
      <alignment horizontal="center"/>
    </xf>
    <xf numFmtId="10" fontId="12" fillId="0" borderId="0" xfId="4" applyNumberFormat="1" applyFont="1" applyBorder="1"/>
    <xf numFmtId="4" fontId="12" fillId="0" borderId="26" xfId="0" applyNumberFormat="1" applyFont="1" applyBorder="1"/>
    <xf numFmtId="0" fontId="12" fillId="7" borderId="33" xfId="0" applyFont="1" applyFill="1" applyBorder="1" applyAlignment="1">
      <alignment horizontal="center"/>
    </xf>
    <xf numFmtId="4" fontId="15" fillId="7" borderId="34" xfId="0" applyNumberFormat="1" applyFont="1" applyFill="1" applyBorder="1" applyAlignment="1">
      <alignment horizontal="center"/>
    </xf>
    <xf numFmtId="0" fontId="12" fillId="0" borderId="33" xfId="0" applyFont="1" applyBorder="1" applyAlignment="1">
      <alignment horizontal="center"/>
    </xf>
    <xf numFmtId="44" fontId="12" fillId="0" borderId="34" xfId="0" applyNumberFormat="1" applyFont="1" applyBorder="1" applyAlignment="1">
      <alignment horizontal="center" vertical="center"/>
    </xf>
    <xf numFmtId="44" fontId="12" fillId="3" borderId="1" xfId="0" applyNumberFormat="1" applyFont="1" applyFill="1" applyBorder="1" applyAlignment="1">
      <alignment vertical="center" wrapText="1"/>
    </xf>
    <xf numFmtId="44" fontId="12" fillId="3" borderId="34" xfId="0" applyNumberFormat="1" applyFont="1" applyFill="1" applyBorder="1" applyAlignment="1">
      <alignment horizontal="center" vertical="center"/>
    </xf>
    <xf numFmtId="44" fontId="15" fillId="4" borderId="34" xfId="0" applyNumberFormat="1" applyFont="1" applyFill="1" applyBorder="1" applyAlignment="1">
      <alignment horizontal="center" vertical="center"/>
    </xf>
    <xf numFmtId="10" fontId="12" fillId="0" borderId="0" xfId="4" applyNumberFormat="1" applyFont="1" applyFill="1" applyBorder="1"/>
    <xf numFmtId="10" fontId="12" fillId="0" borderId="1" xfId="4" applyNumberFormat="1" applyFont="1" applyFill="1" applyBorder="1" applyProtection="1">
      <protection locked="0"/>
    </xf>
    <xf numFmtId="0" fontId="12" fillId="0" borderId="1" xfId="0" applyFont="1" applyBorder="1"/>
    <xf numFmtId="10" fontId="1" fillId="3" borderId="1" xfId="5" applyNumberFormat="1" applyFont="1" applyFill="1" applyBorder="1" applyAlignment="1" applyProtection="1">
      <alignment horizontal="right" vertical="center"/>
    </xf>
    <xf numFmtId="169" fontId="1" fillId="3" borderId="1" xfId="5" applyNumberFormat="1" applyFont="1" applyFill="1" applyBorder="1" applyAlignment="1" applyProtection="1">
      <alignment horizontal="right" vertical="center"/>
    </xf>
    <xf numFmtId="165" fontId="12" fillId="0" borderId="0" xfId="0" applyNumberFormat="1" applyFont="1"/>
    <xf numFmtId="0" fontId="12" fillId="0" borderId="25" xfId="0" applyFont="1" applyBorder="1"/>
    <xf numFmtId="44" fontId="15" fillId="4" borderId="34" xfId="0" applyNumberFormat="1" applyFont="1" applyFill="1" applyBorder="1"/>
    <xf numFmtId="10" fontId="15" fillId="0" borderId="0" xfId="4" applyNumberFormat="1" applyFont="1" applyFill="1" applyBorder="1"/>
    <xf numFmtId="44" fontId="12" fillId="0" borderId="34" xfId="0" applyNumberFormat="1" applyFont="1" applyBorder="1" applyAlignment="1" applyProtection="1">
      <alignment horizontal="center" vertical="center"/>
      <protection locked="0"/>
    </xf>
    <xf numFmtId="4" fontId="12" fillId="0" borderId="26" xfId="0" applyNumberFormat="1" applyFont="1" applyBorder="1" applyAlignment="1">
      <alignment horizontal="center" vertical="center"/>
    </xf>
    <xf numFmtId="44" fontId="12" fillId="0" borderId="1" xfId="0" applyNumberFormat="1" applyFont="1" applyBorder="1" applyAlignment="1">
      <alignment horizontal="center" vertical="center"/>
    </xf>
    <xf numFmtId="9" fontId="12" fillId="0" borderId="1" xfId="0" applyNumberFormat="1" applyFont="1" applyBorder="1" applyAlignment="1" applyProtection="1">
      <alignment horizontal="center" vertical="center"/>
      <protection locked="0"/>
    </xf>
    <xf numFmtId="0" fontId="15" fillId="0" borderId="43" xfId="0" applyFont="1" applyBorder="1" applyAlignment="1">
      <alignment vertical="center"/>
    </xf>
    <xf numFmtId="0" fontId="15" fillId="0" borderId="45" xfId="0" applyFont="1" applyBorder="1" applyAlignment="1">
      <alignment vertical="center"/>
    </xf>
    <xf numFmtId="0" fontId="15" fillId="0" borderId="44" xfId="0" applyFont="1" applyBorder="1" applyAlignment="1">
      <alignment vertical="center"/>
    </xf>
    <xf numFmtId="4" fontId="15" fillId="0" borderId="34" xfId="0" applyNumberFormat="1" applyFont="1" applyBorder="1" applyAlignment="1">
      <alignment horizontal="center"/>
    </xf>
    <xf numFmtId="44" fontId="12" fillId="0" borderId="1" xfId="0" applyNumberFormat="1" applyFont="1" applyBorder="1" applyAlignment="1" applyProtection="1">
      <alignment vertical="center"/>
      <protection locked="0"/>
    </xf>
    <xf numFmtId="44" fontId="12" fillId="0" borderId="1" xfId="0" applyNumberFormat="1" applyFont="1" applyBorder="1" applyAlignment="1">
      <alignment vertical="center"/>
    </xf>
    <xf numFmtId="0" fontId="12" fillId="0" borderId="1" xfId="0" applyFont="1" applyBorder="1" applyAlignment="1">
      <alignment horizontal="center"/>
    </xf>
    <xf numFmtId="4" fontId="15" fillId="0" borderId="0" xfId="0" applyNumberFormat="1" applyFont="1"/>
    <xf numFmtId="0" fontId="12" fillId="0" borderId="25" xfId="0" applyFont="1" applyBorder="1" applyAlignment="1">
      <alignment horizontal="left"/>
    </xf>
    <xf numFmtId="0" fontId="12" fillId="0" borderId="0" xfId="0" applyFont="1" applyAlignment="1">
      <alignment horizontal="left"/>
    </xf>
    <xf numFmtId="10" fontId="12" fillId="0" borderId="0" xfId="4" applyNumberFormat="1" applyFont="1" applyBorder="1" applyAlignment="1">
      <alignment horizontal="left"/>
    </xf>
    <xf numFmtId="44" fontId="12" fillId="0" borderId="26" xfId="0" applyNumberFormat="1" applyFont="1" applyBorder="1" applyAlignment="1">
      <alignment horizontal="center" vertical="center"/>
    </xf>
    <xf numFmtId="44" fontId="15" fillId="4" borderId="40" xfId="0" applyNumberFormat="1" applyFont="1" applyFill="1" applyBorder="1" applyAlignment="1">
      <alignment horizontal="center" vertical="center"/>
    </xf>
    <xf numFmtId="44" fontId="0" fillId="0" borderId="1" xfId="0" applyNumberFormat="1" applyBorder="1" applyProtection="1">
      <protection locked="0"/>
    </xf>
    <xf numFmtId="10" fontId="18" fillId="3" borderId="1" xfId="5" applyNumberFormat="1" applyFont="1" applyFill="1" applyBorder="1" applyAlignment="1" applyProtection="1">
      <alignment horizontal="center" vertical="center"/>
      <protection locked="0"/>
    </xf>
    <xf numFmtId="44" fontId="0" fillId="0" borderId="3" xfId="0" applyNumberFormat="1" applyBorder="1" applyAlignment="1" applyProtection="1">
      <alignment horizontal="center" vertical="center"/>
      <protection locked="0"/>
    </xf>
    <xf numFmtId="0" fontId="12" fillId="0" borderId="1" xfId="0" applyFont="1" applyBorder="1" applyAlignment="1" applyProtection="1">
      <alignment horizontal="right"/>
      <protection locked="0"/>
    </xf>
    <xf numFmtId="9" fontId="12" fillId="0" borderId="1" xfId="0" applyNumberFormat="1" applyFont="1" applyBorder="1" applyAlignment="1" applyProtection="1">
      <alignment horizontal="left"/>
      <protection locked="0"/>
    </xf>
    <xf numFmtId="166" fontId="12" fillId="0" borderId="1" xfId="0" applyNumberFormat="1" applyFont="1" applyBorder="1" applyAlignment="1" applyProtection="1">
      <alignment horizontal="left"/>
      <protection locked="0"/>
    </xf>
    <xf numFmtId="0" fontId="0" fillId="3" borderId="1" xfId="0" applyFill="1" applyBorder="1" applyAlignment="1" applyProtection="1">
      <alignment horizontal="right"/>
      <protection locked="0"/>
    </xf>
    <xf numFmtId="9" fontId="0" fillId="3" borderId="1" xfId="0" applyNumberFormat="1" applyFill="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right"/>
      <protection locked="0"/>
    </xf>
    <xf numFmtId="9" fontId="0" fillId="0" borderId="1" xfId="0" applyNumberFormat="1" applyBorder="1" applyAlignment="1" applyProtection="1">
      <alignment horizontal="left"/>
      <protection locked="0"/>
    </xf>
    <xf numFmtId="166" fontId="0" fillId="0" borderId="1" xfId="0" applyNumberFormat="1" applyBorder="1" applyAlignment="1" applyProtection="1">
      <alignment horizontal="left"/>
      <protection locked="0"/>
    </xf>
    <xf numFmtId="0" fontId="12" fillId="7" borderId="33" xfId="0" applyFont="1" applyFill="1" applyBorder="1" applyAlignment="1">
      <alignment horizontal="center" vertical="center"/>
    </xf>
    <xf numFmtId="44" fontId="1" fillId="7" borderId="34" xfId="3" applyNumberFormat="1" applyFill="1" applyBorder="1" applyAlignment="1">
      <alignment horizontal="center" vertical="center"/>
    </xf>
    <xf numFmtId="0" fontId="0" fillId="0" borderId="45" xfId="0" applyBorder="1" applyAlignment="1">
      <alignment horizontal="left"/>
    </xf>
    <xf numFmtId="0" fontId="0" fillId="0" borderId="44" xfId="0" applyBorder="1" applyAlignment="1">
      <alignment horizontal="left"/>
    </xf>
    <xf numFmtId="0" fontId="0" fillId="3" borderId="45" xfId="0" applyFill="1" applyBorder="1" applyAlignment="1">
      <alignment horizontal="left"/>
    </xf>
    <xf numFmtId="0" fontId="0" fillId="3" borderId="44" xfId="0" applyFill="1" applyBorder="1" applyAlignment="1">
      <alignment horizontal="left"/>
    </xf>
    <xf numFmtId="44" fontId="1" fillId="3" borderId="56" xfId="6" applyNumberFormat="1" applyFont="1" applyFill="1" applyBorder="1" applyAlignment="1" applyProtection="1">
      <alignment horizontal="center" vertical="center"/>
      <protection locked="0"/>
    </xf>
    <xf numFmtId="44" fontId="1" fillId="3" borderId="57" xfId="6" applyNumberFormat="1" applyFont="1" applyFill="1" applyBorder="1" applyAlignment="1" applyProtection="1">
      <alignment horizontal="center" vertical="center"/>
      <protection locked="0"/>
    </xf>
    <xf numFmtId="44" fontId="1" fillId="3" borderId="58" xfId="6" applyNumberFormat="1" applyFont="1" applyFill="1" applyBorder="1" applyAlignment="1" applyProtection="1">
      <alignment horizontal="center" vertical="center"/>
      <protection locked="0"/>
    </xf>
    <xf numFmtId="44" fontId="1" fillId="3" borderId="3" xfId="6" applyNumberFormat="1" applyFont="1" applyFill="1" applyBorder="1" applyAlignment="1" applyProtection="1">
      <alignment horizontal="center" vertical="center"/>
      <protection locked="0"/>
    </xf>
    <xf numFmtId="44" fontId="1" fillId="3" borderId="59" xfId="6" applyNumberFormat="1" applyFont="1" applyFill="1" applyBorder="1" applyAlignment="1" applyProtection="1">
      <alignment horizontal="center" vertical="center"/>
      <protection locked="0"/>
    </xf>
    <xf numFmtId="44" fontId="1" fillId="3" borderId="60" xfId="6" applyNumberFormat="1"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61" xfId="0" applyFont="1" applyBorder="1" applyAlignment="1">
      <alignment horizontal="center" vertical="center"/>
    </xf>
    <xf numFmtId="44" fontId="17" fillId="8" borderId="61" xfId="0" applyNumberFormat="1" applyFont="1" applyFill="1" applyBorder="1" applyAlignment="1">
      <alignment vertical="center"/>
    </xf>
    <xf numFmtId="44" fontId="17" fillId="8" borderId="25" xfId="0" applyNumberFormat="1" applyFont="1" applyFill="1" applyBorder="1" applyAlignment="1">
      <alignment vertical="center"/>
    </xf>
    <xf numFmtId="44" fontId="17" fillId="0" borderId="11" xfId="0" applyNumberFormat="1" applyFont="1" applyBorder="1" applyAlignment="1">
      <alignment horizontal="center" vertical="center"/>
    </xf>
    <xf numFmtId="44" fontId="7" fillId="14" borderId="1" xfId="0" applyNumberFormat="1" applyFont="1" applyFill="1" applyBorder="1" applyAlignment="1">
      <alignment vertical="center"/>
    </xf>
    <xf numFmtId="0" fontId="23" fillId="16" borderId="10" xfId="0" applyFont="1" applyFill="1" applyBorder="1" applyAlignment="1">
      <alignment horizontal="center" vertical="center"/>
    </xf>
    <xf numFmtId="0" fontId="17" fillId="0" borderId="0" xfId="0" applyFont="1" applyAlignment="1">
      <alignment horizontal="center" vertical="center"/>
    </xf>
    <xf numFmtId="0" fontId="23" fillId="8" borderId="7" xfId="0" applyFont="1" applyFill="1" applyBorder="1" applyAlignment="1">
      <alignment horizontal="center" vertical="center"/>
    </xf>
    <xf numFmtId="0" fontId="23" fillId="8" borderId="8"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4" xfId="0" applyFont="1" applyFill="1" applyBorder="1" applyAlignment="1">
      <alignment horizontal="center" vertical="center"/>
    </xf>
    <xf numFmtId="0" fontId="17" fillId="7" borderId="15" xfId="0" applyFont="1" applyFill="1" applyBorder="1" applyAlignment="1">
      <alignment horizontal="center" vertical="center"/>
    </xf>
    <xf numFmtId="0" fontId="17" fillId="7" borderId="5" xfId="0" applyFont="1" applyFill="1" applyBorder="1" applyAlignment="1">
      <alignment horizontal="center" vertical="center"/>
    </xf>
    <xf numFmtId="0" fontId="17" fillId="15" borderId="25" xfId="0" applyFont="1" applyFill="1" applyBorder="1" applyAlignment="1">
      <alignment horizontal="center" vertical="center" wrapText="1"/>
    </xf>
    <xf numFmtId="0" fontId="17" fillId="15" borderId="26" xfId="0" applyFont="1" applyFill="1" applyBorder="1" applyAlignment="1">
      <alignment horizontal="center" vertical="center" wrapText="1"/>
    </xf>
    <xf numFmtId="0" fontId="17" fillId="15" borderId="11" xfId="0" applyFont="1" applyFill="1" applyBorder="1" applyAlignment="1">
      <alignment horizontal="center" vertical="center" wrapText="1"/>
    </xf>
    <xf numFmtId="0" fontId="17" fillId="15" borderId="4" xfId="0" applyFont="1" applyFill="1" applyBorder="1" applyAlignment="1">
      <alignment horizontal="center" vertical="center" wrapText="1"/>
    </xf>
    <xf numFmtId="44" fontId="17" fillId="0" borderId="11" xfId="0" applyNumberFormat="1" applyFont="1" applyBorder="1" applyAlignment="1">
      <alignment horizontal="center" vertical="center"/>
    </xf>
    <xf numFmtId="44" fontId="17" fillId="0" borderId="4" xfId="0" applyNumberFormat="1" applyFont="1" applyBorder="1" applyAlignment="1">
      <alignment horizontal="center" vertical="center"/>
    </xf>
    <xf numFmtId="44" fontId="17" fillId="0" borderId="12" xfId="0" applyNumberFormat="1" applyFont="1" applyBorder="1" applyAlignment="1">
      <alignment horizontal="center" vertical="center"/>
    </xf>
    <xf numFmtId="0" fontId="24" fillId="9" borderId="15" xfId="0" applyFont="1" applyFill="1" applyBorder="1" applyAlignment="1">
      <alignment horizontal="center" vertical="center"/>
    </xf>
    <xf numFmtId="0" fontId="24" fillId="9" borderId="16" xfId="0" applyFont="1" applyFill="1" applyBorder="1" applyAlignment="1">
      <alignment horizontal="center" vertical="center"/>
    </xf>
    <xf numFmtId="0" fontId="24" fillId="9" borderId="5" xfId="0" applyFont="1" applyFill="1" applyBorder="1" applyAlignment="1">
      <alignment horizontal="center" vertical="center"/>
    </xf>
    <xf numFmtId="44" fontId="17" fillId="7" borderId="11" xfId="0" applyNumberFormat="1" applyFont="1" applyFill="1" applyBorder="1" applyAlignment="1">
      <alignment horizontal="center" vertical="center"/>
    </xf>
    <xf numFmtId="44" fontId="17" fillId="7" borderId="12" xfId="0" applyNumberFormat="1" applyFont="1" applyFill="1" applyBorder="1" applyAlignment="1">
      <alignment horizontal="center" vertical="center"/>
    </xf>
    <xf numFmtId="44" fontId="17" fillId="7" borderId="15" xfId="0" applyNumberFormat="1" applyFont="1" applyFill="1" applyBorder="1" applyAlignment="1">
      <alignment horizontal="center" vertical="center"/>
    </xf>
    <xf numFmtId="44" fontId="17" fillId="7" borderId="16" xfId="0" applyNumberFormat="1" applyFont="1" applyFill="1" applyBorder="1" applyAlignment="1">
      <alignment horizontal="center" vertical="center"/>
    </xf>
    <xf numFmtId="0" fontId="23" fillId="16" borderId="29" xfId="0" applyFont="1" applyFill="1" applyBorder="1" applyAlignment="1">
      <alignment horizontal="center" vertical="center"/>
    </xf>
    <xf numFmtId="0" fontId="23" fillId="16" borderId="47"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9" xfId="0" applyFont="1" applyFill="1" applyBorder="1" applyAlignment="1">
      <alignment horizontal="center" vertical="center"/>
    </xf>
    <xf numFmtId="44" fontId="22" fillId="0" borderId="25" xfId="0" applyNumberFormat="1" applyFont="1" applyBorder="1" applyAlignment="1">
      <alignment horizontal="center" vertical="center"/>
    </xf>
    <xf numFmtId="0" fontId="22" fillId="0" borderId="26" xfId="0" applyFont="1" applyBorder="1" applyAlignment="1">
      <alignment horizontal="center" vertical="center"/>
    </xf>
    <xf numFmtId="0" fontId="22" fillId="0" borderId="11" xfId="0" applyFont="1" applyBorder="1" applyAlignment="1">
      <alignment horizontal="center" vertical="center"/>
    </xf>
    <xf numFmtId="0" fontId="22" fillId="0" borderId="4" xfId="0" applyFont="1" applyBorder="1" applyAlignment="1">
      <alignment horizontal="center" vertical="center"/>
    </xf>
    <xf numFmtId="44" fontId="6" fillId="12" borderId="49" xfId="12" applyNumberFormat="1" applyFont="1" applyFill="1" applyBorder="1" applyAlignment="1">
      <alignment horizontal="center" vertical="center" wrapText="1"/>
    </xf>
    <xf numFmtId="44" fontId="6" fillId="12" borderId="48" xfId="12" applyNumberFormat="1" applyFont="1" applyFill="1" applyBorder="1" applyAlignment="1">
      <alignment horizontal="center" vertical="center" wrapText="1"/>
    </xf>
    <xf numFmtId="44" fontId="6" fillId="12" borderId="42" xfId="12" applyNumberFormat="1" applyFont="1" applyFill="1" applyBorder="1" applyAlignment="1">
      <alignment horizontal="center" vertical="center" wrapText="1"/>
    </xf>
    <xf numFmtId="44" fontId="6" fillId="12" borderId="39" xfId="12" applyNumberFormat="1" applyFont="1" applyFill="1" applyBorder="1" applyAlignment="1">
      <alignment horizontal="center" vertical="center" wrapText="1"/>
    </xf>
    <xf numFmtId="44" fontId="6" fillId="12" borderId="41" xfId="12" applyNumberFormat="1" applyFont="1" applyFill="1" applyBorder="1" applyAlignment="1">
      <alignment horizontal="center" vertical="center" wrapText="1"/>
    </xf>
    <xf numFmtId="44" fontId="6" fillId="12" borderId="38" xfId="12" applyNumberFormat="1" applyFont="1" applyFill="1" applyBorder="1" applyAlignment="1">
      <alignment horizontal="center" vertical="center" wrapText="1"/>
    </xf>
    <xf numFmtId="0" fontId="28" fillId="0" borderId="1" xfId="14" applyFont="1" applyBorder="1" applyAlignment="1">
      <alignment horizontal="center"/>
    </xf>
    <xf numFmtId="0" fontId="28" fillId="0" borderId="0" xfId="14" applyFont="1" applyAlignment="1">
      <alignment horizontal="center" vertical="center"/>
    </xf>
    <xf numFmtId="0" fontId="30" fillId="0" borderId="0" xfId="14" applyFont="1" applyAlignment="1">
      <alignment horizontal="center" vertical="center"/>
    </xf>
    <xf numFmtId="0" fontId="27" fillId="0" borderId="1" xfId="14" applyFont="1" applyBorder="1" applyAlignment="1">
      <alignment horizontal="center" vertical="center" wrapText="1"/>
    </xf>
    <xf numFmtId="0" fontId="27" fillId="0" borderId="1" xfId="14" applyFont="1" applyBorder="1" applyAlignment="1">
      <alignment horizontal="center"/>
    </xf>
    <xf numFmtId="0" fontId="27" fillId="0" borderId="1" xfId="14" applyFont="1" applyBorder="1" applyAlignment="1" applyProtection="1">
      <alignment horizontal="center" vertical="center" wrapText="1"/>
      <protection locked="0"/>
    </xf>
    <xf numFmtId="0" fontId="27" fillId="0" borderId="0" xfId="14" applyFont="1" applyAlignment="1" applyProtection="1">
      <alignment horizontal="left" vertical="center" wrapText="1"/>
      <protection locked="0"/>
    </xf>
    <xf numFmtId="0" fontId="27" fillId="0" borderId="0" xfId="14" applyFont="1" applyAlignment="1" applyProtection="1">
      <alignment horizontal="center" vertical="center" wrapText="1"/>
      <protection locked="0"/>
    </xf>
    <xf numFmtId="165" fontId="30" fillId="0" borderId="0" xfId="15" applyFont="1" applyAlignment="1" applyProtection="1">
      <alignment vertical="center" wrapText="1"/>
      <protection locked="0"/>
    </xf>
    <xf numFmtId="165" fontId="28" fillId="0" borderId="0" xfId="15" applyFont="1" applyAlignment="1" applyProtection="1">
      <alignment horizontal="left" vertical="center" wrapText="1"/>
      <protection locked="0"/>
    </xf>
    <xf numFmtId="0" fontId="28" fillId="7" borderId="15" xfId="14" applyFont="1" applyFill="1" applyBorder="1" applyAlignment="1" applyProtection="1">
      <alignment horizontal="center" vertical="center"/>
      <protection locked="0"/>
    </xf>
    <xf numFmtId="0" fontId="28" fillId="7" borderId="16" xfId="14" applyFont="1" applyFill="1" applyBorder="1" applyAlignment="1" applyProtection="1">
      <alignment horizontal="center" vertical="center"/>
      <protection locked="0"/>
    </xf>
    <xf numFmtId="0" fontId="28" fillId="7" borderId="5" xfId="14" applyFont="1" applyFill="1" applyBorder="1" applyAlignment="1" applyProtection="1">
      <alignment horizontal="center" vertical="center"/>
      <protection locked="0"/>
    </xf>
    <xf numFmtId="165" fontId="28" fillId="0" borderId="0" xfId="15" applyFont="1" applyAlignment="1" applyProtection="1">
      <alignment horizontal="left" vertical="center"/>
      <protection locked="0"/>
    </xf>
    <xf numFmtId="0" fontId="28" fillId="0" borderId="25" xfId="14" applyFont="1" applyBorder="1" applyAlignment="1" applyProtection="1">
      <alignment horizontal="left" vertical="center"/>
      <protection locked="0"/>
    </xf>
    <xf numFmtId="0" fontId="28" fillId="0" borderId="0" xfId="14" applyFont="1" applyAlignment="1" applyProtection="1">
      <alignment horizontal="left" vertical="center"/>
      <protection locked="0"/>
    </xf>
    <xf numFmtId="0" fontId="28" fillId="0" borderId="26" xfId="14" applyFont="1" applyBorder="1" applyAlignment="1" applyProtection="1">
      <alignment horizontal="left" vertical="center"/>
      <protection locked="0"/>
    </xf>
    <xf numFmtId="0" fontId="27" fillId="0" borderId="1" xfId="14" applyFont="1" applyBorder="1" applyAlignment="1" applyProtection="1">
      <alignment horizontal="left" vertical="center" wrapText="1"/>
      <protection locked="0"/>
    </xf>
    <xf numFmtId="0" fontId="0" fillId="0" borderId="1" xfId="0" applyBorder="1" applyAlignment="1">
      <alignment horizontal="left" vertical="center"/>
    </xf>
    <xf numFmtId="0" fontId="27" fillId="0" borderId="1" xfId="14" applyFont="1" applyBorder="1" applyAlignment="1">
      <alignment horizontal="left" vertical="center" wrapText="1"/>
    </xf>
    <xf numFmtId="0" fontId="27" fillId="0" borderId="47" xfId="14" applyFont="1" applyBorder="1" applyAlignment="1" applyProtection="1">
      <alignment horizontal="center" vertical="center" wrapText="1"/>
      <protection locked="0"/>
    </xf>
    <xf numFmtId="0" fontId="27" fillId="0" borderId="25" xfId="14" applyFont="1" applyBorder="1" applyAlignment="1" applyProtection="1">
      <alignment horizontal="left" vertical="center" wrapText="1"/>
      <protection locked="0"/>
    </xf>
    <xf numFmtId="0" fontId="15" fillId="4" borderId="29" xfId="0" applyFont="1" applyFill="1" applyBorder="1" applyAlignment="1">
      <alignment horizontal="left"/>
    </xf>
    <xf numFmtId="0" fontId="15" fillId="4" borderId="47" xfId="0" applyFont="1" applyFill="1" applyBorder="1" applyAlignment="1">
      <alignment horizontal="left"/>
    </xf>
    <xf numFmtId="0" fontId="15" fillId="4" borderId="30" xfId="0" applyFont="1" applyFill="1" applyBorder="1" applyAlignment="1">
      <alignment horizontal="left"/>
    </xf>
    <xf numFmtId="0" fontId="12" fillId="0" borderId="43" xfId="0" applyFont="1" applyBorder="1" applyAlignment="1">
      <alignment horizontal="left"/>
    </xf>
    <xf numFmtId="0" fontId="12" fillId="0" borderId="45" xfId="0" applyFont="1" applyBorder="1" applyAlignment="1">
      <alignment horizontal="left"/>
    </xf>
    <xf numFmtId="0" fontId="12" fillId="0" borderId="44" xfId="0" applyFont="1" applyBorder="1" applyAlignment="1">
      <alignment horizontal="left"/>
    </xf>
    <xf numFmtId="0" fontId="15" fillId="4" borderId="28" xfId="0" applyFont="1" applyFill="1" applyBorder="1" applyAlignment="1">
      <alignment horizontal="left"/>
    </xf>
    <xf numFmtId="0" fontId="1" fillId="0" borderId="0" xfId="3" applyAlignment="1">
      <alignment horizontal="center" vertical="center"/>
    </xf>
    <xf numFmtId="1" fontId="3" fillId="0" borderId="0" xfId="3" applyNumberFormat="1" applyFont="1" applyAlignment="1">
      <alignment horizontal="center" vertical="center"/>
    </xf>
    <xf numFmtId="167" fontId="4" fillId="0" borderId="0" xfId="3" applyNumberFormat="1" applyFont="1" applyAlignment="1">
      <alignment horizontal="center" vertical="center"/>
    </xf>
    <xf numFmtId="0" fontId="7" fillId="2" borderId="0" xfId="0" applyFont="1" applyFill="1" applyAlignment="1" applyProtection="1">
      <alignment horizontal="left" vertical="center"/>
      <protection locked="0"/>
    </xf>
    <xf numFmtId="0" fontId="15" fillId="6" borderId="28" xfId="0" applyFont="1" applyFill="1" applyBorder="1" applyAlignment="1">
      <alignment horizontal="center" vertical="center"/>
    </xf>
    <xf numFmtId="0" fontId="15" fillId="6" borderId="31" xfId="0" applyFont="1" applyFill="1" applyBorder="1" applyAlignment="1">
      <alignment horizontal="center" vertical="center"/>
    </xf>
    <xf numFmtId="0" fontId="12" fillId="0" borderId="43" xfId="0" applyFont="1" applyBorder="1" applyAlignment="1">
      <alignment horizontal="left" vertical="center"/>
    </xf>
    <xf numFmtId="0" fontId="12" fillId="0" borderId="45" xfId="0" applyFont="1" applyBorder="1" applyAlignment="1">
      <alignment horizontal="left" vertical="center"/>
    </xf>
    <xf numFmtId="0" fontId="12" fillId="0" borderId="44" xfId="0" applyFont="1" applyBorder="1" applyAlignment="1">
      <alignment horizontal="left" vertical="center"/>
    </xf>
    <xf numFmtId="0" fontId="25" fillId="13" borderId="12" xfId="0" applyFont="1" applyFill="1" applyBorder="1" applyAlignment="1">
      <alignment horizontal="center" vertical="center"/>
    </xf>
    <xf numFmtId="0" fontId="15" fillId="0" borderId="28" xfId="0" applyFont="1" applyBorder="1" applyAlignment="1">
      <alignment horizontal="left"/>
    </xf>
    <xf numFmtId="0" fontId="15" fillId="0" borderId="31" xfId="0" applyFont="1" applyBorder="1" applyAlignment="1">
      <alignment horizontal="left"/>
    </xf>
    <xf numFmtId="0" fontId="15" fillId="3" borderId="28" xfId="0" applyFont="1" applyFill="1" applyBorder="1" applyAlignment="1" applyProtection="1">
      <alignment horizontal="left"/>
      <protection locked="0"/>
    </xf>
    <xf numFmtId="0" fontId="15" fillId="3" borderId="31" xfId="0" applyFont="1" applyFill="1" applyBorder="1" applyAlignment="1" applyProtection="1">
      <alignment horizontal="left"/>
      <protection locked="0"/>
    </xf>
    <xf numFmtId="0" fontId="15" fillId="8" borderId="28" xfId="0" applyFont="1" applyFill="1" applyBorder="1" applyAlignment="1">
      <alignment horizontal="left"/>
    </xf>
    <xf numFmtId="0" fontId="15" fillId="7" borderId="35" xfId="0" applyFont="1" applyFill="1" applyBorder="1" applyAlignment="1">
      <alignment horizontal="center" vertical="center" wrapText="1"/>
    </xf>
    <xf numFmtId="0" fontId="15" fillId="7" borderId="36" xfId="0" applyFont="1" applyFill="1" applyBorder="1" applyAlignment="1">
      <alignment horizontal="center" vertical="center" wrapText="1"/>
    </xf>
    <xf numFmtId="0" fontId="15" fillId="7" borderId="37" xfId="0" applyFont="1" applyFill="1" applyBorder="1" applyAlignment="1">
      <alignment horizontal="center" vertical="center" wrapText="1"/>
    </xf>
    <xf numFmtId="0" fontId="15" fillId="3" borderId="28" xfId="0" applyFont="1" applyFill="1" applyBorder="1" applyAlignment="1">
      <alignment horizontal="left"/>
    </xf>
    <xf numFmtId="0" fontId="15" fillId="3" borderId="31" xfId="0" applyFont="1" applyFill="1" applyBorder="1" applyAlignment="1">
      <alignment horizontal="left"/>
    </xf>
    <xf numFmtId="0" fontId="15" fillId="0" borderId="28" xfId="0" applyFont="1" applyBorder="1" applyAlignment="1">
      <alignment horizontal="center"/>
    </xf>
    <xf numFmtId="0" fontId="15" fillId="0" borderId="31" xfId="0" applyFont="1" applyBorder="1" applyAlignment="1">
      <alignment horizontal="center"/>
    </xf>
    <xf numFmtId="0" fontId="12" fillId="3" borderId="43" xfId="0" applyFont="1" applyFill="1" applyBorder="1" applyAlignment="1">
      <alignment horizontal="left" vertical="center" wrapText="1"/>
    </xf>
    <xf numFmtId="0" fontId="12" fillId="3" borderId="45" xfId="0" applyFont="1" applyFill="1" applyBorder="1" applyAlignment="1">
      <alignment horizontal="left" vertical="center" wrapText="1"/>
    </xf>
    <xf numFmtId="0" fontId="12" fillId="3" borderId="44" xfId="0" applyFont="1" applyFill="1" applyBorder="1" applyAlignment="1">
      <alignment horizontal="left" vertical="center" wrapText="1"/>
    </xf>
    <xf numFmtId="0" fontId="12" fillId="7" borderId="43" xfId="0" applyFont="1" applyFill="1" applyBorder="1" applyAlignment="1">
      <alignment horizontal="left" vertical="center"/>
    </xf>
    <xf numFmtId="0" fontId="12" fillId="7" borderId="45" xfId="0" applyFont="1" applyFill="1" applyBorder="1" applyAlignment="1">
      <alignment horizontal="left" vertical="center"/>
    </xf>
    <xf numFmtId="0" fontId="12" fillId="7" borderId="44" xfId="0" applyFont="1" applyFill="1" applyBorder="1" applyAlignment="1">
      <alignment horizontal="left" vertical="center"/>
    </xf>
    <xf numFmtId="0" fontId="1" fillId="3" borderId="0" xfId="3" applyFill="1" applyAlignment="1">
      <alignment horizontal="center" vertical="center"/>
    </xf>
    <xf numFmtId="0" fontId="11" fillId="3" borderId="1" xfId="0" applyFont="1" applyFill="1" applyBorder="1" applyAlignment="1">
      <alignment horizontal="center" vertical="center"/>
    </xf>
    <xf numFmtId="0" fontId="11" fillId="4" borderId="1" xfId="0" applyFont="1" applyFill="1" applyBorder="1" applyAlignment="1">
      <alignment horizontal="left"/>
    </xf>
    <xf numFmtId="0" fontId="0" fillId="0" borderId="43" xfId="0" applyBorder="1" applyAlignment="1">
      <alignment horizontal="left"/>
    </xf>
    <xf numFmtId="0" fontId="0" fillId="0" borderId="45" xfId="0" applyBorder="1" applyAlignment="1">
      <alignment horizontal="left"/>
    </xf>
    <xf numFmtId="0" fontId="0" fillId="0" borderId="44" xfId="0" applyBorder="1" applyAlignment="1">
      <alignment horizontal="left"/>
    </xf>
    <xf numFmtId="0" fontId="11" fillId="11" borderId="1" xfId="0" applyFont="1" applyFill="1" applyBorder="1" applyAlignment="1">
      <alignment horizontal="center" vertical="center"/>
    </xf>
    <xf numFmtId="0" fontId="0" fillId="0" borderId="45" xfId="0" applyBorder="1" applyAlignment="1">
      <alignment vertical="center"/>
    </xf>
    <xf numFmtId="0" fontId="0" fillId="0" borderId="43" xfId="0" applyBorder="1" applyAlignment="1">
      <alignment horizontal="left" vertical="center"/>
    </xf>
    <xf numFmtId="0" fontId="0" fillId="0" borderId="45" xfId="0" applyBorder="1" applyAlignment="1">
      <alignment horizontal="left" vertical="center"/>
    </xf>
    <xf numFmtId="0" fontId="20" fillId="13" borderId="12" xfId="0" applyFont="1" applyFill="1" applyBorder="1" applyAlignment="1">
      <alignment horizontal="center" vertical="center"/>
    </xf>
    <xf numFmtId="0" fontId="11" fillId="3" borderId="1" xfId="0" applyFont="1" applyFill="1" applyBorder="1" applyAlignment="1">
      <alignment horizontal="left"/>
    </xf>
    <xf numFmtId="0" fontId="11" fillId="0" borderId="33" xfId="0" applyFont="1" applyBorder="1" applyAlignment="1">
      <alignment horizontal="left"/>
    </xf>
    <xf numFmtId="0" fontId="11" fillId="0" borderId="1" xfId="0" applyFont="1" applyBorder="1" applyAlignment="1">
      <alignment horizontal="left"/>
    </xf>
    <xf numFmtId="0" fontId="11" fillId="0" borderId="34" xfId="0" applyFont="1" applyBorder="1" applyAlignment="1">
      <alignment horizontal="left"/>
    </xf>
    <xf numFmtId="0" fontId="11" fillId="3" borderId="1" xfId="0" applyFont="1" applyFill="1" applyBorder="1" applyAlignment="1" applyProtection="1">
      <alignment horizontal="left"/>
      <protection locked="0"/>
    </xf>
    <xf numFmtId="0" fontId="11" fillId="4" borderId="28" xfId="0" applyFont="1" applyFill="1" applyBorder="1" applyAlignment="1">
      <alignment horizontal="left"/>
    </xf>
    <xf numFmtId="0" fontId="11" fillId="6" borderId="33"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34" xfId="0" applyFont="1" applyFill="1" applyBorder="1" applyAlignment="1">
      <alignment horizontal="center" vertical="center"/>
    </xf>
    <xf numFmtId="0" fontId="11" fillId="0" borderId="28" xfId="0" applyFont="1" applyBorder="1" applyAlignment="1">
      <alignment horizontal="left"/>
    </xf>
    <xf numFmtId="0" fontId="11" fillId="4" borderId="33" xfId="0" applyFont="1" applyFill="1" applyBorder="1" applyAlignment="1">
      <alignment horizontal="left"/>
    </xf>
    <xf numFmtId="0" fontId="11" fillId="4" borderId="38" xfId="0" applyFont="1" applyFill="1" applyBorder="1" applyAlignment="1">
      <alignment horizontal="left"/>
    </xf>
    <xf numFmtId="0" fontId="11" fillId="4" borderId="39" xfId="0" applyFont="1" applyFill="1" applyBorder="1" applyAlignment="1">
      <alignment horizontal="left"/>
    </xf>
    <xf numFmtId="0" fontId="11" fillId="7" borderId="35"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11" fillId="7" borderId="37" xfId="0" applyFont="1" applyFill="1" applyBorder="1" applyAlignment="1">
      <alignment horizontal="center" vertical="center" wrapText="1"/>
    </xf>
    <xf numFmtId="0" fontId="11" fillId="0" borderId="31" xfId="0" applyFont="1" applyBorder="1" applyAlignment="1">
      <alignment horizontal="left"/>
    </xf>
    <xf numFmtId="0" fontId="0" fillId="0" borderId="43" xfId="0" applyBorder="1" applyAlignment="1">
      <alignment vertical="center"/>
    </xf>
    <xf numFmtId="0" fontId="0" fillId="0" borderId="44" xfId="0" applyBorder="1" applyAlignment="1">
      <alignment vertical="center"/>
    </xf>
    <xf numFmtId="0" fontId="11" fillId="4" borderId="29" xfId="0" applyFont="1" applyFill="1" applyBorder="1" applyAlignment="1">
      <alignment horizontal="left"/>
    </xf>
    <xf numFmtId="0" fontId="11" fillId="4" borderId="47" xfId="0" applyFont="1" applyFill="1" applyBorder="1" applyAlignment="1">
      <alignment horizontal="left"/>
    </xf>
    <xf numFmtId="0" fontId="11" fillId="4" borderId="30" xfId="0" applyFont="1" applyFill="1" applyBorder="1" applyAlignment="1">
      <alignment horizontal="left"/>
    </xf>
    <xf numFmtId="0" fontId="11" fillId="3" borderId="33" xfId="0" applyFont="1" applyFill="1" applyBorder="1" applyAlignment="1" applyProtection="1">
      <alignment horizontal="left"/>
      <protection locked="0"/>
    </xf>
    <xf numFmtId="0" fontId="11" fillId="3" borderId="34" xfId="0" applyFont="1" applyFill="1" applyBorder="1" applyAlignment="1" applyProtection="1">
      <alignment horizontal="left"/>
      <protection locked="0"/>
    </xf>
    <xf numFmtId="0" fontId="11" fillId="7" borderId="28" xfId="0" applyFont="1" applyFill="1" applyBorder="1" applyAlignment="1">
      <alignment horizontal="left"/>
    </xf>
    <xf numFmtId="0" fontId="0" fillId="3" borderId="43" xfId="0" applyFill="1" applyBorder="1" applyAlignment="1">
      <alignment horizontal="left"/>
    </xf>
    <xf numFmtId="0" fontId="0" fillId="3" borderId="45" xfId="0" applyFill="1" applyBorder="1" applyAlignment="1">
      <alignment horizontal="left"/>
    </xf>
    <xf numFmtId="0" fontId="0" fillId="3" borderId="44" xfId="0" applyFill="1" applyBorder="1" applyAlignment="1">
      <alignment horizontal="left"/>
    </xf>
    <xf numFmtId="0" fontId="11" fillId="5" borderId="33" xfId="0" applyFont="1" applyFill="1" applyBorder="1" applyAlignment="1">
      <alignment horizontal="left" wrapText="1"/>
    </xf>
    <xf numFmtId="0" fontId="11" fillId="5" borderId="1" xfId="0" applyFont="1" applyFill="1" applyBorder="1" applyAlignment="1">
      <alignment horizontal="left" wrapText="1"/>
    </xf>
    <xf numFmtId="0" fontId="11" fillId="5" borderId="34" xfId="0" applyFont="1" applyFill="1" applyBorder="1" applyAlignment="1">
      <alignment horizontal="left" wrapText="1"/>
    </xf>
    <xf numFmtId="0" fontId="11" fillId="0" borderId="28" xfId="0" applyFont="1" applyBorder="1" applyAlignment="1">
      <alignment horizontal="left" vertical="center" wrapText="1"/>
    </xf>
    <xf numFmtId="0" fontId="1" fillId="3" borderId="43" xfId="3" applyFill="1" applyBorder="1" applyAlignment="1">
      <alignment horizontal="left" vertical="center"/>
    </xf>
    <xf numFmtId="0" fontId="1" fillId="3" borderId="45" xfId="3" applyFill="1" applyBorder="1" applyAlignment="1">
      <alignment horizontal="left" vertical="center"/>
    </xf>
    <xf numFmtId="0" fontId="1" fillId="0" borderId="43" xfId="3" applyBorder="1" applyAlignment="1">
      <alignment horizontal="left" vertical="center"/>
    </xf>
    <xf numFmtId="0" fontId="1" fillId="0" borderId="45" xfId="3" applyBorder="1" applyAlignment="1">
      <alignment horizontal="left" vertical="center"/>
    </xf>
    <xf numFmtId="0" fontId="1" fillId="0" borderId="44" xfId="3" applyBorder="1" applyAlignment="1">
      <alignment horizontal="left" vertical="center"/>
    </xf>
    <xf numFmtId="0" fontId="11" fillId="4" borderId="45" xfId="0" applyFont="1" applyFill="1" applyBorder="1" applyAlignment="1">
      <alignment horizontal="left"/>
    </xf>
    <xf numFmtId="0" fontId="11" fillId="4" borderId="44" xfId="0" applyFont="1" applyFill="1" applyBorder="1" applyAlignment="1">
      <alignment horizontal="left"/>
    </xf>
    <xf numFmtId="0" fontId="11" fillId="7" borderId="43" xfId="0" applyFont="1" applyFill="1" applyBorder="1" applyAlignment="1">
      <alignment horizontal="left"/>
    </xf>
    <xf numFmtId="0" fontId="11" fillId="7" borderId="45" xfId="0" applyFont="1" applyFill="1" applyBorder="1" applyAlignment="1">
      <alignment horizontal="left"/>
    </xf>
    <xf numFmtId="0" fontId="11" fillId="7" borderId="44" xfId="0" applyFont="1" applyFill="1" applyBorder="1" applyAlignment="1">
      <alignment horizontal="left"/>
    </xf>
    <xf numFmtId="0" fontId="1" fillId="3" borderId="44" xfId="3" applyFill="1" applyBorder="1" applyAlignment="1">
      <alignment horizontal="left" vertical="center"/>
    </xf>
    <xf numFmtId="0" fontId="0" fillId="3" borderId="43" xfId="0" applyFill="1" applyBorder="1" applyAlignment="1">
      <alignment horizontal="left" vertical="center"/>
    </xf>
    <xf numFmtId="0" fontId="0" fillId="3" borderId="45" xfId="0" applyFill="1" applyBorder="1" applyAlignment="1">
      <alignment horizontal="left" vertical="center"/>
    </xf>
    <xf numFmtId="0" fontId="0" fillId="3" borderId="44" xfId="0" applyFill="1" applyBorder="1" applyAlignment="1">
      <alignment horizontal="left" vertical="center"/>
    </xf>
    <xf numFmtId="0" fontId="0" fillId="3" borderId="43" xfId="0" applyFill="1" applyBorder="1" applyAlignment="1">
      <alignment vertical="center"/>
    </xf>
    <xf numFmtId="0" fontId="0" fillId="3" borderId="45" xfId="0" applyFill="1" applyBorder="1" applyAlignment="1">
      <alignment vertical="center"/>
    </xf>
    <xf numFmtId="0" fontId="0" fillId="3" borderId="44" xfId="0" applyFill="1" applyBorder="1" applyAlignment="1">
      <alignment vertical="center"/>
    </xf>
    <xf numFmtId="0" fontId="11" fillId="5" borderId="28" xfId="0" applyFont="1" applyFill="1" applyBorder="1" applyAlignment="1">
      <alignment horizontal="left"/>
    </xf>
    <xf numFmtId="0" fontId="11" fillId="5" borderId="45" xfId="0" applyFont="1" applyFill="1" applyBorder="1" applyAlignment="1">
      <alignment horizontal="left"/>
    </xf>
    <xf numFmtId="0" fontId="11" fillId="5" borderId="44" xfId="0" applyFont="1" applyFill="1" applyBorder="1" applyAlignment="1">
      <alignment horizontal="left"/>
    </xf>
    <xf numFmtId="0" fontId="0" fillId="0" borderId="43" xfId="0" applyBorder="1" applyAlignment="1">
      <alignment horizontal="left" vertical="center" wrapText="1"/>
    </xf>
    <xf numFmtId="0" fontId="0" fillId="0" borderId="45" xfId="0" applyBorder="1" applyAlignment="1">
      <alignment horizontal="left" vertical="center" wrapText="1"/>
    </xf>
    <xf numFmtId="0" fontId="11" fillId="3" borderId="28" xfId="0" applyFont="1" applyFill="1" applyBorder="1" applyAlignment="1" applyProtection="1">
      <alignment horizontal="left"/>
      <protection locked="0"/>
    </xf>
    <xf numFmtId="0" fontId="11" fillId="3" borderId="31" xfId="0" applyFont="1" applyFill="1" applyBorder="1" applyAlignment="1" applyProtection="1">
      <alignment horizontal="left"/>
      <protection locked="0"/>
    </xf>
    <xf numFmtId="0" fontId="11" fillId="0" borderId="45" xfId="0" applyFont="1" applyBorder="1" applyAlignment="1">
      <alignment horizontal="left"/>
    </xf>
    <xf numFmtId="0" fontId="11" fillId="0" borderId="44" xfId="0" applyFont="1" applyBorder="1" applyAlignment="1">
      <alignment horizontal="left"/>
    </xf>
    <xf numFmtId="0" fontId="11" fillId="7" borderId="35" xfId="0" applyFont="1" applyFill="1" applyBorder="1" applyAlignment="1">
      <alignment horizontal="center"/>
    </xf>
    <xf numFmtId="0" fontId="11" fillId="7" borderId="36" xfId="0" applyFont="1" applyFill="1" applyBorder="1" applyAlignment="1">
      <alignment horizontal="center"/>
    </xf>
    <xf numFmtId="0" fontId="11" fillId="7" borderId="37" xfId="0" applyFont="1" applyFill="1" applyBorder="1" applyAlignment="1">
      <alignment horizontal="center"/>
    </xf>
    <xf numFmtId="0" fontId="11" fillId="0" borderId="38" xfId="0" applyFont="1" applyBorder="1" applyAlignment="1">
      <alignment horizontal="left"/>
    </xf>
    <xf numFmtId="0" fontId="11" fillId="0" borderId="39" xfId="0" applyFont="1" applyBorder="1" applyAlignment="1">
      <alignment horizontal="left"/>
    </xf>
    <xf numFmtId="0" fontId="11" fillId="0" borderId="35" xfId="0" applyFont="1" applyBorder="1" applyAlignment="1">
      <alignment horizontal="center"/>
    </xf>
    <xf numFmtId="0" fontId="11" fillId="0" borderId="36" xfId="0" applyFont="1" applyBorder="1" applyAlignment="1">
      <alignment horizontal="center"/>
    </xf>
    <xf numFmtId="0" fontId="11" fillId="0" borderId="37" xfId="0" applyFont="1" applyBorder="1" applyAlignment="1">
      <alignment horizontal="center"/>
    </xf>
    <xf numFmtId="0" fontId="11" fillId="7" borderId="35" xfId="0" applyFont="1" applyFill="1" applyBorder="1" applyAlignment="1">
      <alignment horizontal="center" vertical="center"/>
    </xf>
    <xf numFmtId="0" fontId="11" fillId="7" borderId="36" xfId="0" applyFont="1" applyFill="1" applyBorder="1" applyAlignment="1">
      <alignment horizontal="center" vertical="center"/>
    </xf>
    <xf numFmtId="0" fontId="11" fillId="7" borderId="37" xfId="0" applyFont="1" applyFill="1" applyBorder="1" applyAlignment="1">
      <alignment horizontal="center" vertical="center"/>
    </xf>
    <xf numFmtId="0" fontId="15" fillId="10" borderId="24" xfId="0" applyFont="1" applyFill="1" applyBorder="1" applyAlignment="1">
      <alignment horizontal="center" vertical="center"/>
    </xf>
    <xf numFmtId="0" fontId="15" fillId="10" borderId="6" xfId="0" applyFont="1" applyFill="1" applyBorder="1" applyAlignment="1">
      <alignment horizontal="center" vertical="center"/>
    </xf>
    <xf numFmtId="168" fontId="15" fillId="8" borderId="7" xfId="6" applyNumberFormat="1" applyFont="1" applyFill="1" applyBorder="1" applyAlignment="1">
      <alignment horizontal="center" vertical="center"/>
    </xf>
    <xf numFmtId="168" fontId="15" fillId="8" borderId="9" xfId="6" applyNumberFormat="1" applyFont="1" applyFill="1" applyBorder="1" applyAlignment="1">
      <alignment horizontal="center" vertical="center"/>
    </xf>
    <xf numFmtId="168" fontId="15" fillId="8" borderId="11" xfId="6" applyNumberFormat="1" applyFont="1" applyFill="1" applyBorder="1" applyAlignment="1">
      <alignment horizontal="center" vertical="center"/>
    </xf>
    <xf numFmtId="168" fontId="15" fillId="8" borderId="4" xfId="6" applyNumberFormat="1" applyFont="1" applyFill="1" applyBorder="1" applyAlignment="1">
      <alignment horizontal="center" vertical="center"/>
    </xf>
    <xf numFmtId="0" fontId="15" fillId="10" borderId="11" xfId="0" applyFont="1" applyFill="1" applyBorder="1" applyAlignment="1">
      <alignment horizontal="center" vertical="center"/>
    </xf>
    <xf numFmtId="0" fontId="15" fillId="10" borderId="12" xfId="0" applyFont="1" applyFill="1" applyBorder="1" applyAlignment="1">
      <alignment horizontal="center" vertical="center"/>
    </xf>
    <xf numFmtId="0" fontId="15" fillId="10" borderId="4" xfId="0" applyFont="1" applyFill="1" applyBorder="1" applyAlignment="1">
      <alignment horizontal="center" vertical="center"/>
    </xf>
    <xf numFmtId="0" fontId="15" fillId="10" borderId="28"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5" xfId="0" applyFont="1" applyFill="1"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168" fontId="15" fillId="8" borderId="15" xfId="6" applyNumberFormat="1" applyFont="1" applyFill="1" applyBorder="1" applyAlignment="1">
      <alignment horizontal="center" vertical="center"/>
    </xf>
    <xf numFmtId="168" fontId="15" fillId="8" borderId="16" xfId="6" applyNumberFormat="1" applyFont="1" applyFill="1" applyBorder="1" applyAlignment="1">
      <alignment horizontal="center" vertical="center"/>
    </xf>
    <xf numFmtId="168" fontId="15" fillId="8" borderId="5" xfId="6" applyNumberFormat="1" applyFont="1" applyFill="1" applyBorder="1" applyAlignment="1">
      <alignment horizontal="center" vertical="center"/>
    </xf>
    <xf numFmtId="44" fontId="0" fillId="0" borderId="49" xfId="0" applyNumberFormat="1" applyBorder="1" applyAlignment="1" applyProtection="1">
      <alignment horizontal="center" vertical="center"/>
      <protection locked="0"/>
    </xf>
    <xf numFmtId="44" fontId="0" fillId="0" borderId="54" xfId="0" applyNumberFormat="1" applyBorder="1" applyAlignment="1" applyProtection="1">
      <alignment horizontal="center" vertical="center"/>
      <protection locked="0"/>
    </xf>
    <xf numFmtId="0" fontId="15" fillId="10" borderId="15"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20" fillId="10" borderId="7" xfId="0" applyFont="1" applyFill="1" applyBorder="1" applyAlignment="1">
      <alignment horizontal="center" vertical="center"/>
    </xf>
    <xf numFmtId="0" fontId="20" fillId="10" borderId="8" xfId="0" applyFont="1" applyFill="1" applyBorder="1" applyAlignment="1">
      <alignment horizontal="center" vertical="center"/>
    </xf>
    <xf numFmtId="0" fontId="20" fillId="10" borderId="9"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16" xfId="0" applyFont="1" applyFill="1" applyBorder="1" applyAlignment="1">
      <alignment horizontal="center" vertical="center"/>
    </xf>
    <xf numFmtId="0" fontId="15" fillId="8" borderId="5" xfId="0" applyFont="1" applyFill="1" applyBorder="1" applyAlignment="1">
      <alignment horizontal="center" vertical="center"/>
    </xf>
    <xf numFmtId="0" fontId="15" fillId="7" borderId="28" xfId="0" applyFont="1" applyFill="1" applyBorder="1" applyAlignment="1">
      <alignment horizontal="center" vertical="center" wrapText="1"/>
    </xf>
    <xf numFmtId="0" fontId="15" fillId="7" borderId="45" xfId="0" applyFont="1" applyFill="1" applyBorder="1" applyAlignment="1">
      <alignment horizontal="center" vertical="center" wrapText="1"/>
    </xf>
    <xf numFmtId="0" fontId="15" fillId="7" borderId="44" xfId="0" applyFont="1" applyFill="1" applyBorder="1" applyAlignment="1">
      <alignment horizontal="center" vertical="center" wrapText="1"/>
    </xf>
    <xf numFmtId="0" fontId="15" fillId="7" borderId="43" xfId="0" applyFont="1" applyFill="1" applyBorder="1" applyAlignment="1">
      <alignment horizontal="center" vertical="center" wrapText="1"/>
    </xf>
    <xf numFmtId="0" fontId="15" fillId="7" borderId="31" xfId="0" applyFont="1" applyFill="1" applyBorder="1" applyAlignment="1">
      <alignment horizontal="center" vertical="center" wrapText="1"/>
    </xf>
    <xf numFmtId="0" fontId="15" fillId="10" borderId="1" xfId="0" applyFont="1" applyFill="1" applyBorder="1" applyAlignment="1">
      <alignment horizontal="left" vertical="center"/>
    </xf>
    <xf numFmtId="168" fontId="15" fillId="0" borderId="31" xfId="6" applyNumberFormat="1" applyFont="1" applyBorder="1" applyAlignment="1">
      <alignment horizontal="center" vertical="center"/>
    </xf>
    <xf numFmtId="168" fontId="15" fillId="8" borderId="31" xfId="6" applyNumberFormat="1" applyFont="1" applyFill="1" applyBorder="1" applyAlignment="1">
      <alignment horizontal="center" vertical="center"/>
    </xf>
    <xf numFmtId="0" fontId="0" fillId="7" borderId="12" xfId="0" applyFill="1" applyBorder="1" applyAlignment="1"/>
    <xf numFmtId="0" fontId="0" fillId="7" borderId="4" xfId="0" applyFill="1" applyBorder="1" applyAlignment="1"/>
    <xf numFmtId="0" fontId="0" fillId="7" borderId="16" xfId="0" applyFill="1" applyBorder="1" applyAlignment="1"/>
    <xf numFmtId="0" fontId="0" fillId="7" borderId="5" xfId="0" applyFill="1" applyBorder="1" applyAlignment="1"/>
    <xf numFmtId="0" fontId="15" fillId="0" borderId="45" xfId="0" applyFont="1" applyBorder="1" applyAlignment="1">
      <alignment horizontal="center"/>
    </xf>
    <xf numFmtId="0" fontId="15" fillId="0" borderId="45" xfId="0" applyFont="1" applyBorder="1" applyAlignment="1">
      <alignment horizontal="left"/>
    </xf>
    <xf numFmtId="0" fontId="15" fillId="3" borderId="45" xfId="0" applyFont="1" applyFill="1" applyBorder="1" applyAlignment="1">
      <alignment horizontal="left"/>
    </xf>
    <xf numFmtId="0" fontId="15" fillId="3" borderId="45" xfId="0" applyFont="1" applyFill="1" applyBorder="1" applyAlignment="1" applyProtection="1">
      <alignment horizontal="left"/>
      <protection locked="0"/>
    </xf>
    <xf numFmtId="0" fontId="15" fillId="8" borderId="45" xfId="0" applyFont="1" applyFill="1" applyBorder="1" applyAlignment="1">
      <alignment horizontal="left"/>
    </xf>
    <xf numFmtId="0" fontId="15" fillId="8" borderId="44" xfId="0" applyFont="1" applyFill="1" applyBorder="1" applyAlignment="1">
      <alignment horizontal="left"/>
    </xf>
    <xf numFmtId="0" fontId="15" fillId="6" borderId="45" xfId="0" applyFont="1" applyFill="1" applyBorder="1" applyAlignment="1">
      <alignment horizontal="center" vertical="center"/>
    </xf>
    <xf numFmtId="0" fontId="15" fillId="7" borderId="43" xfId="0" applyFont="1" applyFill="1" applyBorder="1" applyAlignment="1">
      <alignment horizontal="left"/>
    </xf>
    <xf numFmtId="0" fontId="15" fillId="7" borderId="45" xfId="0" applyFont="1" applyFill="1" applyBorder="1" applyAlignment="1">
      <alignment horizontal="left"/>
    </xf>
    <xf numFmtId="0" fontId="15" fillId="7" borderId="44" xfId="0" applyFont="1" applyFill="1" applyBorder="1" applyAlignment="1">
      <alignment horizontal="left"/>
    </xf>
    <xf numFmtId="0" fontId="12" fillId="0" borderId="43" xfId="0" applyFont="1" applyBorder="1" applyAlignment="1"/>
    <xf numFmtId="0" fontId="12" fillId="0" borderId="45" xfId="0" applyFont="1" applyBorder="1" applyAlignment="1"/>
    <xf numFmtId="0" fontId="12" fillId="0" borderId="44" xfId="0" applyFont="1" applyBorder="1" applyAlignment="1"/>
    <xf numFmtId="0" fontId="15" fillId="4" borderId="45" xfId="0" applyFont="1" applyFill="1" applyBorder="1" applyAlignment="1">
      <alignment horizontal="left"/>
    </xf>
    <xf numFmtId="0" fontId="15" fillId="4" borderId="44" xfId="0" applyFont="1" applyFill="1" applyBorder="1" applyAlignment="1">
      <alignment horizontal="left"/>
    </xf>
    <xf numFmtId="0" fontId="12" fillId="0" borderId="43" xfId="0" applyFont="1" applyBorder="1" applyAlignment="1">
      <alignment vertical="center"/>
    </xf>
    <xf numFmtId="0" fontId="12" fillId="0" borderId="45" xfId="0" applyFont="1" applyBorder="1" applyAlignment="1">
      <alignment vertical="center"/>
    </xf>
    <xf numFmtId="0" fontId="12" fillId="0" borderId="44" xfId="0" applyFont="1" applyBorder="1" applyAlignment="1">
      <alignment vertical="center"/>
    </xf>
    <xf numFmtId="0" fontId="12" fillId="3" borderId="43" xfId="0" applyFont="1" applyFill="1" applyBorder="1" applyAlignment="1">
      <alignment vertical="center"/>
    </xf>
    <xf numFmtId="0" fontId="12" fillId="3" borderId="45" xfId="0" applyFont="1" applyFill="1" applyBorder="1" applyAlignment="1">
      <alignment vertical="center"/>
    </xf>
    <xf numFmtId="0" fontId="12" fillId="3" borderId="44" xfId="0" applyFont="1" applyFill="1" applyBorder="1" applyAlignment="1">
      <alignment vertical="center"/>
    </xf>
    <xf numFmtId="0" fontId="15" fillId="4" borderId="28" xfId="0" applyFont="1" applyFill="1" applyBorder="1" applyAlignment="1"/>
    <xf numFmtId="0" fontId="15" fillId="4" borderId="45" xfId="0" applyFont="1" applyFill="1" applyBorder="1" applyAlignment="1"/>
    <xf numFmtId="0" fontId="15" fillId="4" borderId="44" xfId="0" applyFont="1" applyFill="1" applyBorder="1" applyAlignment="1"/>
    <xf numFmtId="0" fontId="11" fillId="7" borderId="43"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7" borderId="44" xfId="0" applyFont="1" applyFill="1" applyBorder="1" applyAlignment="1">
      <alignment horizontal="center" vertical="center" wrapText="1"/>
    </xf>
    <xf numFmtId="0" fontId="11" fillId="3" borderId="43" xfId="0" applyFont="1" applyFill="1" applyBorder="1" applyAlignment="1">
      <alignment horizontal="left"/>
    </xf>
    <xf numFmtId="0" fontId="11" fillId="3" borderId="45" xfId="0" applyFont="1" applyFill="1" applyBorder="1" applyAlignment="1">
      <alignment horizontal="left"/>
    </xf>
    <xf numFmtId="0" fontId="11" fillId="3" borderId="44" xfId="0" applyFont="1" applyFill="1" applyBorder="1" applyAlignment="1">
      <alignment horizontal="left"/>
    </xf>
    <xf numFmtId="0" fontId="0" fillId="3" borderId="43" xfId="0" applyFill="1" applyBorder="1" applyAlignment="1"/>
    <xf numFmtId="0" fontId="0" fillId="3" borderId="45" xfId="0" applyFill="1" applyBorder="1" applyAlignment="1"/>
    <xf numFmtId="0" fontId="0" fillId="3" borderId="44" xfId="0" applyFill="1" applyBorder="1" applyAlignment="1"/>
    <xf numFmtId="0" fontId="18" fillId="3" borderId="43" xfId="3" applyFont="1" applyFill="1" applyBorder="1" applyAlignment="1">
      <alignment horizontal="left" vertical="center"/>
    </xf>
    <xf numFmtId="0" fontId="18" fillId="3" borderId="45" xfId="3" applyFont="1" applyFill="1" applyBorder="1" applyAlignment="1">
      <alignment horizontal="left" vertical="center"/>
    </xf>
    <xf numFmtId="0" fontId="18" fillId="3" borderId="44" xfId="3" applyFont="1" applyFill="1" applyBorder="1" applyAlignment="1">
      <alignment horizontal="left" vertical="center"/>
    </xf>
    <xf numFmtId="0" fontId="17" fillId="3" borderId="43" xfId="3" applyFont="1" applyFill="1" applyBorder="1" applyAlignment="1">
      <alignment horizontal="left" vertical="center"/>
    </xf>
    <xf numFmtId="0" fontId="17" fillId="3" borderId="45" xfId="3" applyFont="1" applyFill="1" applyBorder="1" applyAlignment="1">
      <alignment horizontal="left" vertical="center"/>
    </xf>
    <xf numFmtId="0" fontId="17" fillId="3" borderId="44" xfId="3" applyFont="1" applyFill="1" applyBorder="1" applyAlignment="1">
      <alignment horizontal="left" vertical="center"/>
    </xf>
    <xf numFmtId="0" fontId="11" fillId="4" borderId="43" xfId="0" applyFont="1" applyFill="1" applyBorder="1" applyAlignment="1">
      <alignment horizontal="left"/>
    </xf>
    <xf numFmtId="0" fontId="11" fillId="7" borderId="43" xfId="0" applyFont="1" applyFill="1" applyBorder="1" applyAlignment="1">
      <alignment horizontal="left" vertical="center"/>
    </xf>
    <xf numFmtId="0" fontId="11" fillId="7" borderId="45" xfId="0" applyFont="1" applyFill="1" applyBorder="1" applyAlignment="1">
      <alignment horizontal="left" vertical="center"/>
    </xf>
    <xf numFmtId="0" fontId="11" fillId="7" borderId="44" xfId="0" applyFont="1" applyFill="1" applyBorder="1" applyAlignment="1">
      <alignment horizontal="left" vertical="center"/>
    </xf>
    <xf numFmtId="0" fontId="0" fillId="0" borderId="43" xfId="0" applyBorder="1" applyAlignment="1"/>
    <xf numFmtId="0" fontId="0" fillId="0" borderId="45" xfId="0" applyBorder="1" applyAlignment="1"/>
    <xf numFmtId="0" fontId="0" fillId="0" borderId="44" xfId="0" applyBorder="1" applyAlignment="1"/>
    <xf numFmtId="0" fontId="18" fillId="0" borderId="43" xfId="3" applyFont="1" applyBorder="1" applyAlignment="1">
      <alignment horizontal="left" vertical="center"/>
    </xf>
    <xf numFmtId="0" fontId="18" fillId="0" borderId="45" xfId="3" applyFont="1" applyBorder="1" applyAlignment="1">
      <alignment horizontal="left" vertical="center"/>
    </xf>
    <xf numFmtId="0" fontId="18" fillId="0" borderId="44" xfId="3" applyFont="1" applyBorder="1" applyAlignment="1">
      <alignment horizontal="left" vertical="center"/>
    </xf>
    <xf numFmtId="0" fontId="0" fillId="7" borderId="44" xfId="0" applyFill="1" applyBorder="1" applyAlignment="1"/>
    <xf numFmtId="0" fontId="11" fillId="4" borderId="28" xfId="0" applyFont="1" applyFill="1" applyBorder="1" applyAlignment="1"/>
    <xf numFmtId="0" fontId="11" fillId="4" borderId="45" xfId="0" applyFont="1" applyFill="1" applyBorder="1" applyAlignment="1"/>
    <xf numFmtId="0" fontId="11" fillId="4" borderId="44" xfId="0" applyFont="1" applyFill="1" applyBorder="1" applyAlignment="1"/>
    <xf numFmtId="0" fontId="0" fillId="0" borderId="44" xfId="0" applyBorder="1" applyAlignment="1">
      <alignment horizontal="left" vertical="center"/>
    </xf>
    <xf numFmtId="0" fontId="12" fillId="0" borderId="45" xfId="0" applyFont="1" applyBorder="1"/>
    <xf numFmtId="0" fontId="11" fillId="3" borderId="45" xfId="0" applyFont="1" applyFill="1" applyBorder="1" applyAlignment="1" applyProtection="1">
      <alignment horizontal="left"/>
      <protection locked="0"/>
    </xf>
    <xf numFmtId="0" fontId="11" fillId="4" borderId="38" xfId="0" applyFont="1" applyFill="1" applyBorder="1" applyAlignment="1"/>
    <xf numFmtId="0" fontId="11" fillId="4" borderId="39" xfId="0" applyFont="1" applyFill="1" applyBorder="1" applyAlignment="1"/>
    <xf numFmtId="0" fontId="11" fillId="0" borderId="33" xfId="0" applyFont="1" applyBorder="1" applyAlignment="1"/>
    <xf numFmtId="0" fontId="11" fillId="0" borderId="1" xfId="0" applyFont="1" applyBorder="1" applyAlignment="1"/>
    <xf numFmtId="0" fontId="11" fillId="0" borderId="38" xfId="0" applyFont="1" applyBorder="1" applyAlignment="1"/>
    <xf numFmtId="0" fontId="11" fillId="0" borderId="39" xfId="0" applyFont="1" applyBorder="1" applyAlignment="1"/>
    <xf numFmtId="0" fontId="11" fillId="4" borderId="33" xfId="0" applyFont="1" applyFill="1" applyBorder="1" applyAlignment="1"/>
    <xf numFmtId="0" fontId="11" fillId="4" borderId="1" xfId="0" applyFont="1" applyFill="1" applyBorder="1" applyAlignment="1"/>
    <xf numFmtId="0" fontId="15" fillId="10" borderId="43" xfId="0" applyFont="1" applyFill="1" applyBorder="1" applyAlignment="1">
      <alignment horizontal="left" vertical="center"/>
    </xf>
    <xf numFmtId="0" fontId="15" fillId="10" borderId="44" xfId="0" applyFont="1" applyFill="1" applyBorder="1" applyAlignment="1">
      <alignment horizontal="left" vertical="center"/>
    </xf>
    <xf numFmtId="168" fontId="15" fillId="0" borderId="43" xfId="6" applyNumberFormat="1" applyFont="1" applyBorder="1" applyAlignment="1">
      <alignment horizontal="center" vertical="center"/>
    </xf>
    <xf numFmtId="168" fontId="15" fillId="8" borderId="43" xfId="6" applyNumberFormat="1" applyFont="1" applyFill="1" applyBorder="1" applyAlignment="1">
      <alignment horizontal="center" vertical="center"/>
    </xf>
    <xf numFmtId="0" fontId="15" fillId="10" borderId="44" xfId="0" applyFont="1" applyFill="1" applyBorder="1" applyAlignment="1">
      <alignment horizontal="center" vertical="center"/>
    </xf>
    <xf numFmtId="168" fontId="15" fillId="0" borderId="43" xfId="0" applyNumberFormat="1" applyFont="1" applyBorder="1" applyAlignment="1">
      <alignment horizontal="center" vertical="center"/>
    </xf>
    <xf numFmtId="168" fontId="15" fillId="0" borderId="44" xfId="0" applyNumberFormat="1" applyFont="1" applyBorder="1" applyAlignment="1">
      <alignment horizontal="center" vertical="center"/>
    </xf>
    <xf numFmtId="168" fontId="15" fillId="8" borderId="44" xfId="6" applyNumberFormat="1" applyFont="1" applyFill="1" applyBorder="1" applyAlignment="1">
      <alignment horizontal="center" vertical="center"/>
    </xf>
    <xf numFmtId="168" fontId="15" fillId="0" borderId="44" xfId="6" applyNumberFormat="1" applyFont="1" applyBorder="1" applyAlignment="1">
      <alignment horizontal="center" vertical="center"/>
    </xf>
  </cellXfs>
  <cellStyles count="16">
    <cellStyle name="Excel Built-in Normal" xfId="8" xr:uid="{00000000-0005-0000-0000-000000000000}"/>
    <cellStyle name="Moeda" xfId="1" builtinId="4"/>
    <cellStyle name="Moeda 2" xfId="2" xr:uid="{00000000-0005-0000-0000-000002000000}"/>
    <cellStyle name="Moeda 2 2" xfId="9" xr:uid="{00000000-0005-0000-0000-000003000000}"/>
    <cellStyle name="Moeda 3" xfId="13" xr:uid="{00000000-0005-0000-0000-000004000000}"/>
    <cellStyle name="Normal" xfId="0" builtinId="0"/>
    <cellStyle name="Normal 2" xfId="3" xr:uid="{00000000-0005-0000-0000-000006000000}"/>
    <cellStyle name="Normal 3" xfId="14" xr:uid="{00000000-0005-0000-0000-000007000000}"/>
    <cellStyle name="Porcentagem" xfId="4" builtinId="5"/>
    <cellStyle name="Porcentagem 11" xfId="7" xr:uid="{00000000-0005-0000-0000-000009000000}"/>
    <cellStyle name="Porcentagem 2" xfId="5" xr:uid="{00000000-0005-0000-0000-00000A000000}"/>
    <cellStyle name="Porcentagem 2 2" xfId="11" xr:uid="{00000000-0005-0000-0000-00000B000000}"/>
    <cellStyle name="Porcentagem 3" xfId="10" xr:uid="{00000000-0005-0000-0000-00000C000000}"/>
    <cellStyle name="Separador de milhares 2" xfId="12" xr:uid="{00000000-0005-0000-0000-00000E000000}"/>
    <cellStyle name="Separador de milhares 3" xfId="15" xr:uid="{00000000-0005-0000-0000-00000F000000}"/>
    <cellStyle name="Vírgula" xfId="6"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4"/>
  <sheetViews>
    <sheetView view="pageBreakPreview" topLeftCell="A16" zoomScale="55" zoomScaleNormal="70" zoomScaleSheetLayoutView="55" workbookViewId="0">
      <selection activeCell="E20" sqref="E20"/>
    </sheetView>
  </sheetViews>
  <sheetFormatPr defaultColWidth="9.140625" defaultRowHeight="12.75"/>
  <cols>
    <col min="1" max="1" width="8.7109375" style="11" customWidth="1"/>
    <col min="2" max="2" width="47.42578125" style="9" customWidth="1"/>
    <col min="3" max="3" width="18.5703125" style="9" customWidth="1"/>
    <col min="4" max="4" width="28" style="9" hidden="1" customWidth="1"/>
    <col min="5" max="5" width="27.42578125" style="9" customWidth="1"/>
    <col min="6" max="6" width="18.140625" style="9" hidden="1" customWidth="1"/>
    <col min="7" max="7" width="22.28515625" style="9" customWidth="1"/>
    <col min="8" max="8" width="22.28515625" style="9" hidden="1" customWidth="1"/>
    <col min="9" max="9" width="18.42578125" style="9" customWidth="1"/>
    <col min="10" max="10" width="18.42578125" style="9" hidden="1" customWidth="1"/>
    <col min="11" max="11" width="18.7109375" style="9" customWidth="1"/>
    <col min="12" max="12" width="18.7109375" style="9" hidden="1" customWidth="1"/>
    <col min="13" max="13" width="17.7109375" style="9" customWidth="1"/>
    <col min="14" max="14" width="18.28515625" style="9" customWidth="1"/>
    <col min="15" max="15" width="17.28515625" style="9" customWidth="1"/>
    <col min="16" max="16" width="19.28515625" style="9" customWidth="1"/>
    <col min="17" max="17" width="19.42578125" style="9" customWidth="1"/>
    <col min="18" max="19" width="19.85546875" style="9" customWidth="1"/>
    <col min="20" max="20" width="22.28515625" style="9" customWidth="1"/>
    <col min="21" max="21" width="19" style="9" customWidth="1"/>
    <col min="22" max="22" width="24.7109375" style="9" customWidth="1"/>
    <col min="23" max="25" width="9.140625" style="9"/>
    <col min="26" max="26" width="26.28515625" style="9" customWidth="1"/>
    <col min="27" max="16384" width="9.140625" style="9"/>
  </cols>
  <sheetData>
    <row r="1" spans="1:22" ht="39.950000000000003" customHeight="1">
      <c r="A1" s="366" t="s">
        <v>0</v>
      </c>
      <c r="B1" s="366"/>
      <c r="C1" s="366"/>
      <c r="D1" s="366"/>
      <c r="E1" s="366"/>
      <c r="F1" s="366"/>
      <c r="G1" s="366"/>
      <c r="H1" s="366"/>
      <c r="I1" s="366"/>
      <c r="J1" s="366"/>
      <c r="K1" s="366"/>
      <c r="L1" s="366"/>
      <c r="M1" s="366"/>
      <c r="N1" s="366"/>
      <c r="O1" s="366"/>
      <c r="P1" s="366"/>
      <c r="Q1" s="366"/>
      <c r="R1" s="366"/>
      <c r="S1" s="366"/>
      <c r="T1" s="366"/>
      <c r="U1" s="366"/>
      <c r="V1" s="366"/>
    </row>
    <row r="2" spans="1:22" ht="39.950000000000003" customHeight="1">
      <c r="A2" s="366" t="s">
        <v>1</v>
      </c>
      <c r="B2" s="366"/>
      <c r="C2" s="366"/>
      <c r="D2" s="366"/>
      <c r="E2" s="366"/>
      <c r="F2" s="366"/>
      <c r="G2" s="366"/>
      <c r="H2" s="366"/>
      <c r="I2" s="366"/>
      <c r="J2" s="366"/>
      <c r="K2" s="366"/>
      <c r="L2" s="366"/>
      <c r="M2" s="366"/>
      <c r="N2" s="366"/>
      <c r="O2" s="366"/>
      <c r="P2" s="366"/>
      <c r="Q2" s="366"/>
      <c r="R2" s="366"/>
      <c r="S2" s="366"/>
      <c r="T2" s="366"/>
      <c r="U2" s="366"/>
      <c r="V2" s="366"/>
    </row>
    <row r="3" spans="1:22" ht="39.950000000000003" customHeight="1">
      <c r="A3" s="367" t="s">
        <v>2</v>
      </c>
      <c r="B3" s="367"/>
      <c r="C3" s="367"/>
      <c r="D3" s="367"/>
      <c r="E3" s="367"/>
      <c r="F3" s="367"/>
      <c r="G3" s="367"/>
      <c r="H3" s="367"/>
      <c r="I3" s="367"/>
      <c r="J3" s="367"/>
      <c r="K3" s="367"/>
      <c r="L3" s="367"/>
      <c r="M3" s="367"/>
      <c r="N3" s="367"/>
      <c r="O3" s="367"/>
      <c r="P3" s="367"/>
      <c r="Q3" s="367"/>
      <c r="R3" s="367"/>
      <c r="S3" s="367"/>
      <c r="T3" s="367"/>
      <c r="U3" s="367"/>
      <c r="V3" s="367"/>
    </row>
    <row r="4" spans="1:22" ht="20.25">
      <c r="A4" s="194"/>
      <c r="B4" s="200"/>
      <c r="C4" s="195"/>
      <c r="D4" s="195"/>
      <c r="E4" s="199"/>
      <c r="F4" s="199"/>
      <c r="G4" s="369" t="s">
        <v>3</v>
      </c>
      <c r="H4" s="369"/>
      <c r="I4" s="369"/>
      <c r="J4" s="369"/>
      <c r="K4" s="369"/>
      <c r="L4" s="369"/>
      <c r="M4" s="369"/>
    </row>
    <row r="5" spans="1:22" ht="20.25" customHeight="1">
      <c r="A5" s="194"/>
      <c r="B5" s="200"/>
      <c r="C5" s="195"/>
      <c r="D5" s="195"/>
      <c r="E5" s="199"/>
      <c r="F5" s="199"/>
      <c r="G5" s="369" t="s">
        <v>4</v>
      </c>
      <c r="H5" s="369"/>
      <c r="I5" s="369"/>
      <c r="J5" s="369"/>
      <c r="K5" s="369"/>
      <c r="L5" s="369"/>
      <c r="M5" s="369"/>
    </row>
    <row r="6" spans="1:22" ht="20.25" customHeight="1">
      <c r="A6" s="196"/>
      <c r="B6" s="200"/>
      <c r="C6" s="195"/>
      <c r="D6" s="195"/>
      <c r="E6" s="199"/>
      <c r="F6" s="199"/>
      <c r="G6" s="195"/>
      <c r="H6" s="198"/>
      <c r="I6" s="203"/>
      <c r="J6" s="203"/>
      <c r="K6" s="203"/>
    </row>
    <row r="7" spans="1:22" ht="47.25" customHeight="1">
      <c r="A7" s="196"/>
      <c r="B7" s="200"/>
      <c r="C7" s="195"/>
      <c r="D7" s="195" t="s">
        <v>5</v>
      </c>
      <c r="E7" s="223" t="s">
        <v>6</v>
      </c>
      <c r="F7" s="195" t="s">
        <v>5</v>
      </c>
      <c r="G7" s="368" t="s">
        <v>7</v>
      </c>
      <c r="H7" s="368"/>
      <c r="I7" s="368"/>
      <c r="J7" s="368"/>
      <c r="K7" s="368"/>
      <c r="L7" s="368"/>
      <c r="M7" s="368"/>
    </row>
    <row r="8" spans="1:22" ht="20.25">
      <c r="A8" s="195"/>
      <c r="B8" s="195"/>
      <c r="C8" s="195"/>
      <c r="D8" s="195"/>
      <c r="E8" s="199"/>
      <c r="F8" s="199"/>
      <c r="G8" s="195"/>
      <c r="H8" s="198"/>
    </row>
    <row r="9" spans="1:22" ht="27.75" customHeight="1">
      <c r="A9" s="194"/>
      <c r="B9" s="200"/>
      <c r="C9" s="195"/>
      <c r="D9" s="197" t="s">
        <v>8</v>
      </c>
      <c r="E9" s="204" t="s">
        <v>8</v>
      </c>
      <c r="F9" s="204"/>
      <c r="G9" s="365"/>
      <c r="H9" s="365"/>
      <c r="I9" s="365"/>
      <c r="J9" s="365"/>
      <c r="K9" s="365"/>
      <c r="L9" s="365"/>
      <c r="M9" s="365"/>
    </row>
    <row r="10" spans="1:22" ht="24" customHeight="1">
      <c r="A10" s="194"/>
      <c r="B10" s="201"/>
      <c r="C10" s="195"/>
      <c r="D10" s="197" t="s">
        <v>9</v>
      </c>
      <c r="E10" s="204" t="s">
        <v>9</v>
      </c>
      <c r="F10" s="204"/>
      <c r="G10" s="365"/>
      <c r="H10" s="365"/>
      <c r="I10" s="365"/>
      <c r="J10" s="365"/>
      <c r="K10" s="365"/>
      <c r="L10" s="365"/>
      <c r="M10" s="365"/>
    </row>
    <row r="11" spans="1:22" ht="25.5" customHeight="1">
      <c r="A11" s="194"/>
      <c r="B11" s="202"/>
      <c r="C11" s="195"/>
      <c r="D11" s="197" t="s">
        <v>10</v>
      </c>
      <c r="E11" s="204" t="s">
        <v>10</v>
      </c>
      <c r="F11" s="204"/>
      <c r="G11" s="365"/>
      <c r="H11" s="365"/>
      <c r="I11" s="365"/>
      <c r="J11" s="365"/>
      <c r="K11" s="365"/>
      <c r="L11" s="365"/>
      <c r="M11" s="365"/>
    </row>
    <row r="12" spans="1:22" ht="30.75" customHeight="1">
      <c r="A12" s="194"/>
      <c r="B12" s="202"/>
      <c r="C12" s="195"/>
      <c r="D12" s="197" t="s">
        <v>11</v>
      </c>
      <c r="E12" s="204" t="s">
        <v>11</v>
      </c>
      <c r="F12" s="204"/>
      <c r="G12" s="365"/>
      <c r="H12" s="365"/>
      <c r="I12" s="365"/>
      <c r="J12" s="365"/>
      <c r="K12" s="365"/>
      <c r="L12" s="365"/>
      <c r="M12" s="365"/>
    </row>
    <row r="13" spans="1:22" ht="20.25">
      <c r="A13" s="195"/>
      <c r="B13" s="200"/>
      <c r="C13" s="195"/>
      <c r="D13" s="195"/>
      <c r="E13" s="199"/>
      <c r="F13" s="199"/>
      <c r="G13" s="195"/>
      <c r="H13" s="198"/>
      <c r="I13" s="203"/>
      <c r="J13" s="203"/>
      <c r="K13" s="203"/>
    </row>
    <row r="15" spans="1:22">
      <c r="B15" s="11"/>
      <c r="D15" s="11"/>
      <c r="E15" s="11"/>
      <c r="F15" s="11"/>
      <c r="G15" s="11"/>
      <c r="H15" s="11"/>
      <c r="I15" s="11"/>
      <c r="J15" s="11"/>
      <c r="K15" s="11"/>
      <c r="L15" s="11"/>
      <c r="M15" s="11"/>
      <c r="N15" s="11"/>
      <c r="O15" s="11"/>
      <c r="P15" s="11"/>
      <c r="Q15" s="11"/>
      <c r="R15" s="11"/>
      <c r="S15" s="11"/>
      <c r="T15" s="11"/>
      <c r="U15" s="11"/>
      <c r="V15" s="11"/>
    </row>
    <row r="16" spans="1:22" ht="13.5" thickBot="1">
      <c r="B16" s="11"/>
      <c r="C16" s="11"/>
      <c r="D16" s="11"/>
      <c r="E16" s="11"/>
      <c r="F16" s="11"/>
      <c r="G16" s="11"/>
      <c r="H16" s="11"/>
      <c r="I16" s="11"/>
      <c r="J16" s="11"/>
      <c r="K16" s="11"/>
      <c r="L16" s="11"/>
      <c r="M16" s="11"/>
      <c r="N16" s="11"/>
      <c r="O16" s="11"/>
      <c r="P16" s="11"/>
      <c r="Q16" s="11"/>
      <c r="R16" s="11"/>
      <c r="S16" s="11"/>
      <c r="T16" s="11"/>
      <c r="U16" s="11"/>
      <c r="V16" s="11"/>
    </row>
    <row r="17" spans="1:22" ht="35.1" customHeight="1" thickBot="1">
      <c r="A17" s="352" t="s">
        <v>12</v>
      </c>
      <c r="B17" s="353"/>
      <c r="C17" s="353"/>
      <c r="D17" s="353"/>
      <c r="E17" s="353"/>
      <c r="F17" s="353"/>
      <c r="G17" s="353"/>
      <c r="H17" s="353"/>
      <c r="I17" s="353"/>
      <c r="J17" s="353"/>
      <c r="K17" s="353"/>
      <c r="L17" s="353"/>
      <c r="M17" s="353"/>
      <c r="N17" s="353"/>
      <c r="O17" s="353"/>
      <c r="P17" s="353"/>
      <c r="Q17" s="353"/>
      <c r="R17" s="353"/>
      <c r="S17" s="353"/>
      <c r="T17" s="353"/>
      <c r="U17" s="353"/>
      <c r="V17" s="354"/>
    </row>
    <row r="18" spans="1:22" s="10" customFormat="1" ht="30" customHeight="1" thickBot="1">
      <c r="A18" s="363" t="s">
        <v>13</v>
      </c>
      <c r="B18" s="361" t="s">
        <v>14</v>
      </c>
      <c r="C18" s="359" t="s">
        <v>15</v>
      </c>
      <c r="D18" s="188"/>
      <c r="E18" s="343" t="s">
        <v>16</v>
      </c>
      <c r="F18" s="344"/>
      <c r="G18" s="344"/>
      <c r="H18" s="344"/>
      <c r="I18" s="344"/>
      <c r="J18" s="344"/>
      <c r="K18" s="344"/>
      <c r="L18" s="344"/>
      <c r="M18" s="344"/>
      <c r="N18" s="344"/>
      <c r="O18" s="344"/>
      <c r="P18" s="345"/>
      <c r="Q18" s="343" t="s">
        <v>17</v>
      </c>
      <c r="R18" s="344"/>
      <c r="S18" s="345"/>
      <c r="T18" s="343" t="s">
        <v>18</v>
      </c>
      <c r="U18" s="344"/>
      <c r="V18" s="345"/>
    </row>
    <row r="19" spans="1:22" s="10" customFormat="1" ht="75.75" customHeight="1" thickBot="1">
      <c r="A19" s="364"/>
      <c r="B19" s="362"/>
      <c r="C19" s="360"/>
      <c r="D19" s="189"/>
      <c r="E19" s="168" t="s">
        <v>19</v>
      </c>
      <c r="F19" s="191"/>
      <c r="G19" s="156" t="s">
        <v>20</v>
      </c>
      <c r="H19" s="156"/>
      <c r="I19" s="156" t="s">
        <v>21</v>
      </c>
      <c r="J19" s="156"/>
      <c r="K19" s="156" t="s">
        <v>22</v>
      </c>
      <c r="L19" s="157"/>
      <c r="M19" s="157" t="s">
        <v>23</v>
      </c>
      <c r="N19" s="158" t="s">
        <v>24</v>
      </c>
      <c r="O19" s="157" t="s">
        <v>25</v>
      </c>
      <c r="P19" s="159" t="s">
        <v>26</v>
      </c>
      <c r="Q19" s="160" t="s">
        <v>24</v>
      </c>
      <c r="R19" s="157" t="s">
        <v>25</v>
      </c>
      <c r="S19" s="161" t="s">
        <v>26</v>
      </c>
      <c r="T19" s="171" t="s">
        <v>27</v>
      </c>
      <c r="U19" s="161" t="s">
        <v>28</v>
      </c>
      <c r="V19" s="161" t="s">
        <v>29</v>
      </c>
    </row>
    <row r="20" spans="1:22" ht="71.25" customHeight="1">
      <c r="A20" s="152">
        <v>1</v>
      </c>
      <c r="B20" s="153" t="s">
        <v>30</v>
      </c>
      <c r="C20" s="162">
        <v>3</v>
      </c>
      <c r="D20" s="190">
        <f>E20*C20</f>
        <v>4066.8051776000002</v>
      </c>
      <c r="E20" s="169">
        <f>'1 - Assistente de M. de Veículo'!I59</f>
        <v>1355.6017258666668</v>
      </c>
      <c r="F20" s="166">
        <f>C20*G20</f>
        <v>0</v>
      </c>
      <c r="G20" s="154">
        <f>'1 - Assistente de M. de Veículo'!I68</f>
        <v>0</v>
      </c>
      <c r="H20" s="154">
        <f>I20*C20</f>
        <v>3564.6450000000004</v>
      </c>
      <c r="I20" s="154">
        <f>'1 - Assistente de M. de Veículo'!I77</f>
        <v>1188.2150000000001</v>
      </c>
      <c r="J20" s="154">
        <f>K20*$C20</f>
        <v>675.81000000000006</v>
      </c>
      <c r="K20" s="154">
        <f>'1 - Assistente de M. de Veículo'!I86</f>
        <v>225.27</v>
      </c>
      <c r="L20" s="154">
        <f>M20*$C20</f>
        <v>592.38</v>
      </c>
      <c r="M20" s="154">
        <f>'1 - Assistente de M. de Veículo'!I93</f>
        <v>197.46</v>
      </c>
      <c r="N20" s="154">
        <f>E20+G20+K20</f>
        <v>1580.8717258666668</v>
      </c>
      <c r="O20" s="154">
        <f>I20+M20</f>
        <v>1385.6750000000002</v>
      </c>
      <c r="P20" s="155">
        <f>N20+O20</f>
        <v>2966.5467258666667</v>
      </c>
      <c r="Q20" s="169">
        <f>N20*C20</f>
        <v>4742.6151776000006</v>
      </c>
      <c r="R20" s="154">
        <f>O20*C20</f>
        <v>4157.0250000000005</v>
      </c>
      <c r="S20" s="155">
        <f>Q20+R20</f>
        <v>8899.6401776000021</v>
      </c>
      <c r="T20" s="166">
        <f>'1 - HE - A. Manutenção'!I64</f>
        <v>11.807647272727273</v>
      </c>
      <c r="U20" s="154">
        <f>T20*20</f>
        <v>236.15294545454546</v>
      </c>
      <c r="V20" s="155">
        <f>U20*C20</f>
        <v>708.45883636363635</v>
      </c>
    </row>
    <row r="21" spans="1:22" ht="71.25" customHeight="1">
      <c r="A21" s="150">
        <v>2</v>
      </c>
      <c r="B21" s="149" t="s">
        <v>31</v>
      </c>
      <c r="C21" s="163">
        <v>2</v>
      </c>
      <c r="D21" s="190">
        <f t="shared" ref="D21:D25" si="0">E21*C21</f>
        <v>0</v>
      </c>
      <c r="E21" s="170">
        <f>'2 - Motorista 1 - Automóvel'!I58</f>
        <v>0</v>
      </c>
      <c r="F21" s="166">
        <f>C21*G21</f>
        <v>0</v>
      </c>
      <c r="G21" s="131">
        <f>'2 - Motorista 1 - Automóvel'!I67</f>
        <v>0</v>
      </c>
      <c r="H21" s="154">
        <f>I21*C21</f>
        <v>2376.4300000000003</v>
      </c>
      <c r="I21" s="131">
        <f>'2 - Motorista 1 - Automóvel'!I76</f>
        <v>1188.2150000000001</v>
      </c>
      <c r="J21" s="154">
        <f t="shared" ref="J21:J25" si="1">K21*$C21</f>
        <v>0</v>
      </c>
      <c r="K21" s="131">
        <f>'2 - Motorista 1 - Automóvel'!I85</f>
        <v>0</v>
      </c>
      <c r="L21" s="154">
        <f t="shared" ref="L21:L25" si="2">M21*$C21</f>
        <v>394.92</v>
      </c>
      <c r="M21" s="131">
        <f>'2 - Motorista 1 - Automóvel'!I92</f>
        <v>197.46</v>
      </c>
      <c r="N21" s="131">
        <f t="shared" ref="N21:N25" si="3">E21+G21+K21</f>
        <v>0</v>
      </c>
      <c r="O21" s="131">
        <f t="shared" ref="O21:O25" si="4">I21+M21</f>
        <v>1385.6750000000002</v>
      </c>
      <c r="P21" s="151">
        <f t="shared" ref="P21:P25" si="5">N21+O21</f>
        <v>1385.6750000000002</v>
      </c>
      <c r="Q21" s="170">
        <f t="shared" ref="Q21:Q25" si="6">N21*C21</f>
        <v>0</v>
      </c>
      <c r="R21" s="131">
        <f t="shared" ref="R21:R25" si="7">O21*C21</f>
        <v>2771.3500000000004</v>
      </c>
      <c r="S21" s="151">
        <f t="shared" ref="S21:S25" si="8">Q21+R21</f>
        <v>2771.3500000000004</v>
      </c>
      <c r="T21" s="167">
        <f>'2 - HE - Motorista 1 - Auto'!I66</f>
        <v>0</v>
      </c>
      <c r="U21" s="131">
        <f t="shared" ref="U21:U25" si="9">T21*20</f>
        <v>0</v>
      </c>
      <c r="V21" s="151">
        <f t="shared" ref="V21:V25" si="10">U21*C21</f>
        <v>0</v>
      </c>
    </row>
    <row r="22" spans="1:22" ht="78" customHeight="1">
      <c r="A22" s="150">
        <v>3</v>
      </c>
      <c r="B22" s="149" t="s">
        <v>32</v>
      </c>
      <c r="C22" s="164">
        <v>15</v>
      </c>
      <c r="D22" s="190">
        <f t="shared" si="0"/>
        <v>0</v>
      </c>
      <c r="E22" s="170">
        <f>'3 - Motorista  Micro-ônibus'!I58</f>
        <v>0</v>
      </c>
      <c r="F22" s="166">
        <f>C22*G22</f>
        <v>0</v>
      </c>
      <c r="G22" s="131">
        <f>'3 - Motorista  Micro-ônibus'!I67</f>
        <v>0</v>
      </c>
      <c r="H22" s="154">
        <f t="shared" ref="H22:H25" si="11">I22*C22</f>
        <v>17823.225000000002</v>
      </c>
      <c r="I22" s="131">
        <f>'3 - Motorista  Micro-ônibus'!I76</f>
        <v>1188.2150000000001</v>
      </c>
      <c r="J22" s="154">
        <f t="shared" si="1"/>
        <v>0</v>
      </c>
      <c r="K22" s="131">
        <f>'3 - Motorista  Micro-ônibus'!I85</f>
        <v>0</v>
      </c>
      <c r="L22" s="154">
        <f t="shared" si="2"/>
        <v>2961.9</v>
      </c>
      <c r="M22" s="131">
        <f>'3 - Motorista  Micro-ônibus'!I92</f>
        <v>197.46</v>
      </c>
      <c r="N22" s="131">
        <f t="shared" si="3"/>
        <v>0</v>
      </c>
      <c r="O22" s="131">
        <f t="shared" si="4"/>
        <v>1385.6750000000002</v>
      </c>
      <c r="P22" s="151">
        <f t="shared" si="5"/>
        <v>1385.6750000000002</v>
      </c>
      <c r="Q22" s="170">
        <f t="shared" si="6"/>
        <v>0</v>
      </c>
      <c r="R22" s="131">
        <f t="shared" si="7"/>
        <v>20785.125000000004</v>
      </c>
      <c r="S22" s="151">
        <f t="shared" si="8"/>
        <v>20785.125000000004</v>
      </c>
      <c r="T22" s="167">
        <f>'3 - HE - Mot. 2 - Mic. ônibus'!I66</f>
        <v>0</v>
      </c>
      <c r="U22" s="131">
        <f t="shared" si="9"/>
        <v>0</v>
      </c>
      <c r="V22" s="151">
        <f t="shared" si="10"/>
        <v>0</v>
      </c>
    </row>
    <row r="23" spans="1:22" ht="78" customHeight="1">
      <c r="A23" s="150">
        <v>4</v>
      </c>
      <c r="B23" s="149" t="s">
        <v>33</v>
      </c>
      <c r="C23" s="164">
        <v>1</v>
      </c>
      <c r="D23" s="190">
        <f t="shared" si="0"/>
        <v>0</v>
      </c>
      <c r="E23" s="170">
        <f>'4 - Motorista M. Ônibus Noturno'!I60</f>
        <v>0</v>
      </c>
      <c r="F23" s="166">
        <f>C23*G23</f>
        <v>0</v>
      </c>
      <c r="G23" s="131">
        <f>'4 - Motorista M. Ônibus Noturno'!I69</f>
        <v>0</v>
      </c>
      <c r="H23" s="154">
        <f t="shared" si="11"/>
        <v>1188.2150000000001</v>
      </c>
      <c r="I23" s="131">
        <f>'4 - Motorista M. Ônibus Noturno'!I78</f>
        <v>1188.2150000000001</v>
      </c>
      <c r="J23" s="154">
        <f t="shared" si="1"/>
        <v>0</v>
      </c>
      <c r="K23" s="131">
        <f>'4 - Motorista M. Ônibus Noturno'!I87</f>
        <v>0</v>
      </c>
      <c r="L23" s="154">
        <f t="shared" si="2"/>
        <v>197.46</v>
      </c>
      <c r="M23" s="131">
        <f>'4 - Motorista M. Ônibus Noturno'!I94</f>
        <v>197.46</v>
      </c>
      <c r="N23" s="131">
        <f t="shared" si="3"/>
        <v>0</v>
      </c>
      <c r="O23" s="131">
        <f t="shared" si="4"/>
        <v>1385.6750000000002</v>
      </c>
      <c r="P23" s="151">
        <f t="shared" si="5"/>
        <v>1385.6750000000002</v>
      </c>
      <c r="Q23" s="170">
        <f t="shared" si="6"/>
        <v>0</v>
      </c>
      <c r="R23" s="131">
        <f t="shared" si="7"/>
        <v>1385.6750000000002</v>
      </c>
      <c r="S23" s="151">
        <f t="shared" si="8"/>
        <v>1385.6750000000002</v>
      </c>
      <c r="T23" s="167">
        <f>'4 - HE - M. Micro Noturno'!I67</f>
        <v>0</v>
      </c>
      <c r="U23" s="131">
        <f t="shared" si="9"/>
        <v>0</v>
      </c>
      <c r="V23" s="151">
        <f t="shared" si="10"/>
        <v>0</v>
      </c>
    </row>
    <row r="24" spans="1:22" ht="78" customHeight="1">
      <c r="A24" s="150">
        <v>5</v>
      </c>
      <c r="B24" s="149" t="s">
        <v>34</v>
      </c>
      <c r="C24" s="164">
        <v>3</v>
      </c>
      <c r="D24" s="190">
        <f t="shared" si="0"/>
        <v>0</v>
      </c>
      <c r="E24" s="170">
        <f>'5 - Motorista de Ônibus'!I58</f>
        <v>0</v>
      </c>
      <c r="F24" s="166">
        <f t="shared" ref="F24" si="12">C24*G24</f>
        <v>0</v>
      </c>
      <c r="G24" s="131">
        <f>'5 - Motorista de Ônibus'!I67</f>
        <v>0</v>
      </c>
      <c r="H24" s="154">
        <f t="shared" si="11"/>
        <v>3564.6450000000004</v>
      </c>
      <c r="I24" s="131">
        <f>'5 - Motorista de Ônibus'!I76</f>
        <v>1188.2150000000001</v>
      </c>
      <c r="J24" s="154">
        <f t="shared" si="1"/>
        <v>0</v>
      </c>
      <c r="K24" s="131">
        <f>'5 - Motorista de Ônibus'!I85</f>
        <v>0</v>
      </c>
      <c r="L24" s="154">
        <f t="shared" si="2"/>
        <v>592.38</v>
      </c>
      <c r="M24" s="131">
        <f>'5 - Motorista de Ônibus'!I92</f>
        <v>197.46</v>
      </c>
      <c r="N24" s="131">
        <f t="shared" si="3"/>
        <v>0</v>
      </c>
      <c r="O24" s="131">
        <f t="shared" si="4"/>
        <v>1385.6750000000002</v>
      </c>
      <c r="P24" s="151">
        <f t="shared" si="5"/>
        <v>1385.6750000000002</v>
      </c>
      <c r="Q24" s="170">
        <f t="shared" si="6"/>
        <v>0</v>
      </c>
      <c r="R24" s="131">
        <f t="shared" si="7"/>
        <v>4157.0250000000005</v>
      </c>
      <c r="S24" s="151">
        <f t="shared" si="8"/>
        <v>4157.0250000000005</v>
      </c>
      <c r="T24" s="167">
        <f>'5 - HE - Motorista de Ônibus'!I66</f>
        <v>0</v>
      </c>
      <c r="U24" s="131">
        <f t="shared" si="9"/>
        <v>0</v>
      </c>
      <c r="V24" s="151">
        <f t="shared" si="10"/>
        <v>0</v>
      </c>
    </row>
    <row r="25" spans="1:22" ht="91.5" customHeight="1" thickBot="1">
      <c r="A25" s="150">
        <v>6</v>
      </c>
      <c r="B25" s="149" t="s">
        <v>35</v>
      </c>
      <c r="C25" s="165">
        <v>1</v>
      </c>
      <c r="D25" s="190">
        <f t="shared" si="0"/>
        <v>0</v>
      </c>
      <c r="E25" s="314">
        <f>'6 - Supervisor'!I59</f>
        <v>0</v>
      </c>
      <c r="F25" s="315">
        <f>C25*G25</f>
        <v>0</v>
      </c>
      <c r="G25" s="316">
        <f>'6 - Supervisor'!I68</f>
        <v>0</v>
      </c>
      <c r="H25" s="317">
        <f t="shared" si="11"/>
        <v>1188.2150000000001</v>
      </c>
      <c r="I25" s="316">
        <f>'6 - Supervisor'!I77</f>
        <v>1188.2150000000001</v>
      </c>
      <c r="J25" s="317">
        <f t="shared" si="1"/>
        <v>0</v>
      </c>
      <c r="K25" s="316">
        <f>'6 - Supervisor'!I86</f>
        <v>0</v>
      </c>
      <c r="L25" s="317">
        <f t="shared" si="2"/>
        <v>197.46</v>
      </c>
      <c r="M25" s="316">
        <f>'6 - Supervisor'!I93</f>
        <v>197.46</v>
      </c>
      <c r="N25" s="316">
        <f t="shared" si="3"/>
        <v>0</v>
      </c>
      <c r="O25" s="316">
        <f t="shared" si="4"/>
        <v>1385.6750000000002</v>
      </c>
      <c r="P25" s="318">
        <f t="shared" si="5"/>
        <v>1385.6750000000002</v>
      </c>
      <c r="Q25" s="314">
        <f t="shared" si="6"/>
        <v>0</v>
      </c>
      <c r="R25" s="316">
        <f t="shared" si="7"/>
        <v>1385.6750000000002</v>
      </c>
      <c r="S25" s="318">
        <f t="shared" si="8"/>
        <v>1385.6750000000002</v>
      </c>
      <c r="T25" s="319">
        <f>'6 - HE - Supervisor'!I67</f>
        <v>0</v>
      </c>
      <c r="U25" s="316">
        <f t="shared" si="9"/>
        <v>0</v>
      </c>
      <c r="V25" s="318">
        <f t="shared" si="10"/>
        <v>0</v>
      </c>
    </row>
    <row r="26" spans="1:22" ht="28.5" customHeight="1" thickBot="1">
      <c r="A26" s="350" t="s">
        <v>36</v>
      </c>
      <c r="B26" s="351"/>
      <c r="C26" s="326">
        <f>SUM(C20:C25)</f>
        <v>25</v>
      </c>
      <c r="D26" s="187"/>
      <c r="E26" s="325">
        <f>SUM(E20:E25)</f>
        <v>1355.6017258666668</v>
      </c>
      <c r="F26" s="325">
        <f t="shared" ref="F26:V26" si="13">SUM(F20:F25)</f>
        <v>0</v>
      </c>
      <c r="G26" s="325">
        <f t="shared" si="13"/>
        <v>0</v>
      </c>
      <c r="H26" s="325">
        <f t="shared" si="13"/>
        <v>29705.375000000004</v>
      </c>
      <c r="I26" s="325">
        <f t="shared" si="13"/>
        <v>7129.2900000000009</v>
      </c>
      <c r="J26" s="325">
        <f t="shared" si="13"/>
        <v>675.81000000000006</v>
      </c>
      <c r="K26" s="325">
        <f t="shared" si="13"/>
        <v>225.27</v>
      </c>
      <c r="L26" s="325">
        <f t="shared" si="13"/>
        <v>4936.5</v>
      </c>
      <c r="M26" s="325">
        <f t="shared" si="13"/>
        <v>1184.76</v>
      </c>
      <c r="N26" s="325">
        <f t="shared" si="13"/>
        <v>1580.8717258666668</v>
      </c>
      <c r="O26" s="325">
        <f t="shared" si="13"/>
        <v>8314.0500000000011</v>
      </c>
      <c r="P26" s="325">
        <f t="shared" si="13"/>
        <v>9894.9217258666686</v>
      </c>
      <c r="Q26" s="325">
        <f t="shared" si="13"/>
        <v>4742.6151776000006</v>
      </c>
      <c r="R26" s="325">
        <f t="shared" si="13"/>
        <v>34641.875000000007</v>
      </c>
      <c r="S26" s="325">
        <f t="shared" si="13"/>
        <v>39384.490177600012</v>
      </c>
      <c r="T26" s="325">
        <f t="shared" si="13"/>
        <v>11.807647272727273</v>
      </c>
      <c r="U26" s="325">
        <f t="shared" si="13"/>
        <v>236.15294545454546</v>
      </c>
      <c r="V26" s="325">
        <f t="shared" si="13"/>
        <v>708.45883636363635</v>
      </c>
    </row>
    <row r="27" spans="1:22" ht="39" customHeight="1" thickBot="1">
      <c r="A27" s="328" t="s">
        <v>37</v>
      </c>
      <c r="B27" s="329"/>
      <c r="C27" s="329"/>
      <c r="D27" s="186"/>
      <c r="E27" s="320" t="s">
        <v>38</v>
      </c>
      <c r="F27" s="321"/>
      <c r="G27" s="322">
        <f>SUM(Q20:Q25)</f>
        <v>4742.6151776000006</v>
      </c>
      <c r="H27" s="323"/>
      <c r="I27" s="346" t="s">
        <v>39</v>
      </c>
      <c r="J27" s="347"/>
      <c r="K27" s="537"/>
      <c r="L27" s="537"/>
      <c r="M27" s="538"/>
      <c r="N27" s="340">
        <f>SUM(S20:S25)</f>
        <v>39384.490177600012</v>
      </c>
      <c r="O27" s="341"/>
      <c r="P27" s="332" t="s">
        <v>40</v>
      </c>
      <c r="Q27" s="333"/>
      <c r="R27" s="324">
        <f>SUM(V20:V25)</f>
        <v>708.45883636363635</v>
      </c>
      <c r="S27" s="336" t="s">
        <v>41</v>
      </c>
      <c r="T27" s="337"/>
      <c r="U27" s="355">
        <f>N28+R28</f>
        <v>481115.38816756383</v>
      </c>
      <c r="V27" s="356"/>
    </row>
    <row r="28" spans="1:22" ht="40.5" customHeight="1" thickBot="1">
      <c r="A28" s="330"/>
      <c r="B28" s="331"/>
      <c r="C28" s="331"/>
      <c r="D28" s="187"/>
      <c r="E28" s="134" t="s">
        <v>42</v>
      </c>
      <c r="F28" s="134"/>
      <c r="G28" s="133">
        <f>G27*12</f>
        <v>56911.382131200007</v>
      </c>
      <c r="H28" s="192"/>
      <c r="I28" s="348" t="s">
        <v>43</v>
      </c>
      <c r="J28" s="349"/>
      <c r="K28" s="539"/>
      <c r="L28" s="539"/>
      <c r="M28" s="540"/>
      <c r="N28" s="342">
        <f>N27*12</f>
        <v>472613.88213120017</v>
      </c>
      <c r="O28" s="341"/>
      <c r="P28" s="334" t="s">
        <v>44</v>
      </c>
      <c r="Q28" s="335"/>
      <c r="R28" s="135">
        <f>R27*12</f>
        <v>8501.5060363636367</v>
      </c>
      <c r="S28" s="338"/>
      <c r="T28" s="339"/>
      <c r="U28" s="357"/>
      <c r="V28" s="358"/>
    </row>
    <row r="29" spans="1:22" ht="17.25" customHeight="1">
      <c r="R29" s="132"/>
      <c r="S29" s="132"/>
      <c r="T29" s="132"/>
      <c r="U29" s="132"/>
      <c r="V29" s="132"/>
    </row>
    <row r="30" spans="1:22" ht="53.25" customHeight="1">
      <c r="A30" s="373" t="s">
        <v>45</v>
      </c>
      <c r="B30" s="373"/>
      <c r="C30" s="373"/>
      <c r="D30" s="373"/>
      <c r="E30" s="373"/>
      <c r="F30" s="373"/>
      <c r="G30" s="373"/>
      <c r="H30" s="373"/>
      <c r="I30" s="373"/>
      <c r="J30" s="373"/>
      <c r="K30" s="373"/>
      <c r="L30" s="373"/>
      <c r="M30" s="373"/>
      <c r="N30" s="373"/>
      <c r="O30" s="373"/>
      <c r="R30" s="327"/>
      <c r="S30" s="327"/>
      <c r="T30" s="327"/>
    </row>
    <row r="31" spans="1:22" ht="40.5" customHeight="1">
      <c r="A31" s="374" t="s">
        <v>46</v>
      </c>
      <c r="B31" s="374"/>
      <c r="C31" s="374"/>
      <c r="D31" s="374"/>
      <c r="E31" s="374"/>
      <c r="F31" s="374"/>
      <c r="G31" s="374"/>
      <c r="H31" s="374"/>
      <c r="I31" s="374"/>
      <c r="J31" s="374"/>
      <c r="K31" s="374"/>
      <c r="L31" s="374"/>
      <c r="M31" s="374"/>
      <c r="N31" s="374"/>
      <c r="O31" s="374"/>
      <c r="R31" s="327"/>
      <c r="S31" s="327"/>
      <c r="T31" s="327"/>
    </row>
    <row r="32" spans="1:22" ht="53.25" customHeight="1">
      <c r="A32" s="378" t="s">
        <v>47</v>
      </c>
      <c r="B32" s="378"/>
      <c r="C32" s="378"/>
      <c r="D32" s="378"/>
      <c r="E32" s="378"/>
      <c r="F32" s="378"/>
      <c r="G32" s="378"/>
      <c r="H32" s="378"/>
      <c r="I32" s="378"/>
      <c r="J32" s="378"/>
      <c r="K32" s="378"/>
      <c r="L32" s="378"/>
      <c r="M32" s="378"/>
      <c r="N32" s="378"/>
      <c r="O32" s="378"/>
    </row>
    <row r="33" spans="1:15" ht="21" thickBot="1">
      <c r="A33" s="205"/>
      <c r="B33" s="206"/>
      <c r="C33" s="205"/>
      <c r="D33" s="205"/>
      <c r="E33" s="207"/>
      <c r="F33" s="207"/>
      <c r="G33" s="205"/>
      <c r="H33" s="208"/>
    </row>
    <row r="34" spans="1:15" ht="36.75" customHeight="1" thickBot="1">
      <c r="A34" s="375" t="s">
        <v>48</v>
      </c>
      <c r="B34" s="376"/>
      <c r="C34" s="376"/>
      <c r="D34" s="376"/>
      <c r="E34" s="376"/>
      <c r="F34" s="376"/>
      <c r="G34" s="376"/>
      <c r="H34" s="376"/>
      <c r="I34" s="376"/>
      <c r="J34" s="376"/>
      <c r="K34" s="376"/>
      <c r="L34" s="376"/>
      <c r="M34" s="376"/>
      <c r="N34" s="376"/>
      <c r="O34" s="377"/>
    </row>
    <row r="35" spans="1:15" ht="32.25" customHeight="1">
      <c r="A35" s="379" t="s">
        <v>49</v>
      </c>
      <c r="B35" s="380"/>
      <c r="C35" s="380"/>
      <c r="D35" s="380"/>
      <c r="E35" s="380"/>
      <c r="F35" s="380"/>
      <c r="G35" s="380"/>
      <c r="H35" s="380"/>
      <c r="I35" s="380"/>
      <c r="J35" s="380"/>
      <c r="K35" s="380"/>
      <c r="L35" s="380"/>
      <c r="M35" s="380"/>
      <c r="N35" s="380"/>
      <c r="O35" s="381"/>
    </row>
    <row r="36" spans="1:15" ht="20.25">
      <c r="A36" s="210"/>
      <c r="B36" s="206"/>
      <c r="C36" s="205"/>
      <c r="D36" s="205"/>
      <c r="E36" s="207"/>
      <c r="F36" s="207"/>
      <c r="G36" s="205"/>
      <c r="H36" s="211"/>
      <c r="O36" s="212"/>
    </row>
    <row r="37" spans="1:15" ht="20.25">
      <c r="A37" s="213" t="s">
        <v>50</v>
      </c>
      <c r="B37" s="214"/>
      <c r="C37" s="205"/>
      <c r="D37" s="205"/>
      <c r="E37" s="207"/>
      <c r="F37" s="207"/>
      <c r="G37" s="205"/>
      <c r="H37" s="211"/>
      <c r="O37" s="212"/>
    </row>
    <row r="38" spans="1:15" ht="42" customHeight="1">
      <c r="A38" s="386" t="s">
        <v>51</v>
      </c>
      <c r="B38" s="371"/>
      <c r="C38" s="371"/>
      <c r="D38" s="371"/>
      <c r="E38" s="371"/>
      <c r="F38" s="371"/>
      <c r="G38" s="371"/>
      <c r="H38" s="371"/>
      <c r="O38" s="212"/>
    </row>
    <row r="39" spans="1:15" ht="70.5" customHeight="1">
      <c r="A39" s="382" t="s">
        <v>52</v>
      </c>
      <c r="B39" s="382"/>
      <c r="C39" s="382"/>
      <c r="D39" s="382"/>
      <c r="E39" s="382"/>
      <c r="F39" s="382"/>
      <c r="G39" s="382"/>
      <c r="H39" s="382"/>
      <c r="I39" s="382"/>
      <c r="J39" s="382"/>
      <c r="K39" s="382"/>
      <c r="L39" s="382"/>
      <c r="M39" s="382"/>
      <c r="N39" s="382"/>
      <c r="O39" s="382"/>
    </row>
    <row r="40" spans="1:15" ht="95.25" customHeight="1">
      <c r="A40" s="382" t="s">
        <v>53</v>
      </c>
      <c r="B40" s="382"/>
      <c r="C40" s="382"/>
      <c r="D40" s="382"/>
      <c r="E40" s="382"/>
      <c r="F40" s="382"/>
      <c r="G40" s="382"/>
      <c r="H40" s="382"/>
      <c r="I40" s="382"/>
      <c r="J40" s="382"/>
      <c r="K40" s="382"/>
      <c r="L40" s="382"/>
      <c r="M40" s="382"/>
      <c r="N40" s="382"/>
      <c r="O40" s="382"/>
    </row>
    <row r="41" spans="1:15" ht="30.75" customHeight="1">
      <c r="A41" s="382" t="s">
        <v>54</v>
      </c>
      <c r="B41" s="383"/>
      <c r="C41" s="383"/>
      <c r="D41" s="383"/>
      <c r="E41" s="383"/>
      <c r="F41" s="383"/>
      <c r="G41" s="383"/>
      <c r="H41" s="383"/>
      <c r="I41" s="383"/>
      <c r="J41" s="383"/>
      <c r="K41" s="383"/>
      <c r="L41" s="383"/>
      <c r="M41" s="383"/>
      <c r="N41" s="383"/>
      <c r="O41" s="383"/>
    </row>
    <row r="42" spans="1:15" ht="112.5" customHeight="1">
      <c r="A42" s="382" t="s">
        <v>55</v>
      </c>
      <c r="B42" s="382"/>
      <c r="C42" s="382"/>
      <c r="D42" s="382"/>
      <c r="E42" s="382"/>
      <c r="F42" s="382"/>
      <c r="G42" s="382"/>
      <c r="H42" s="382"/>
      <c r="I42" s="382"/>
      <c r="J42" s="382"/>
      <c r="K42" s="382"/>
      <c r="L42" s="382"/>
      <c r="M42" s="382"/>
      <c r="N42" s="382"/>
      <c r="O42" s="382"/>
    </row>
    <row r="43" spans="1:15" ht="88.5" customHeight="1">
      <c r="A43" s="382" t="s">
        <v>56</v>
      </c>
      <c r="B43" s="382"/>
      <c r="C43" s="382"/>
      <c r="D43" s="382"/>
      <c r="E43" s="382"/>
      <c r="F43" s="382"/>
      <c r="G43" s="382"/>
      <c r="H43" s="382"/>
      <c r="I43" s="382"/>
      <c r="J43" s="382"/>
      <c r="K43" s="382"/>
      <c r="L43" s="382"/>
      <c r="M43" s="382"/>
      <c r="N43" s="382"/>
      <c r="O43" s="382"/>
    </row>
    <row r="44" spans="1:15" ht="108.75" customHeight="1">
      <c r="A44" s="382" t="s">
        <v>57</v>
      </c>
      <c r="B44" s="382"/>
      <c r="C44" s="382"/>
      <c r="D44" s="382"/>
      <c r="E44" s="382"/>
      <c r="F44" s="382"/>
      <c r="G44" s="382"/>
      <c r="H44" s="382"/>
      <c r="I44" s="382"/>
      <c r="J44" s="382"/>
      <c r="K44" s="382"/>
      <c r="L44" s="382"/>
      <c r="M44" s="382"/>
      <c r="N44" s="382"/>
      <c r="O44" s="382"/>
    </row>
    <row r="45" spans="1:15" ht="89.25" customHeight="1">
      <c r="A45" s="384" t="s">
        <v>58</v>
      </c>
      <c r="B45" s="384"/>
      <c r="C45" s="384"/>
      <c r="D45" s="384"/>
      <c r="E45" s="384"/>
      <c r="F45" s="384"/>
      <c r="G45" s="384"/>
      <c r="H45" s="384"/>
      <c r="I45" s="384"/>
      <c r="J45" s="384"/>
      <c r="K45" s="384"/>
      <c r="L45" s="384"/>
      <c r="M45" s="384"/>
      <c r="N45" s="384"/>
      <c r="O45" s="384"/>
    </row>
    <row r="46" spans="1:15" ht="20.25">
      <c r="A46" s="215"/>
      <c r="B46" s="216"/>
      <c r="C46" s="216"/>
      <c r="D46" s="216"/>
      <c r="E46" s="216"/>
      <c r="F46" s="216"/>
      <c r="G46" s="216"/>
      <c r="H46" s="216"/>
      <c r="O46" s="212"/>
    </row>
    <row r="47" spans="1:15" ht="40.5">
      <c r="A47" s="217"/>
      <c r="B47" s="209" t="s">
        <v>59</v>
      </c>
      <c r="C47" s="370"/>
      <c r="D47" s="370"/>
      <c r="E47" s="370"/>
      <c r="F47" s="370"/>
      <c r="G47" s="370"/>
      <c r="H47" s="370"/>
      <c r="O47" s="212"/>
    </row>
    <row r="48" spans="1:15" ht="20.25">
      <c r="A48" s="218"/>
      <c r="B48" s="209" t="s">
        <v>60</v>
      </c>
      <c r="C48" s="370"/>
      <c r="D48" s="370"/>
      <c r="E48" s="370"/>
      <c r="F48" s="370"/>
      <c r="G48" s="370"/>
      <c r="H48" s="370"/>
      <c r="O48" s="212"/>
    </row>
    <row r="49" spans="1:15" ht="20.25">
      <c r="A49" s="218"/>
      <c r="B49" s="209" t="s">
        <v>61</v>
      </c>
      <c r="C49" s="370"/>
      <c r="D49" s="370"/>
      <c r="E49" s="370"/>
      <c r="F49" s="370"/>
      <c r="G49" s="370"/>
      <c r="H49" s="370"/>
      <c r="O49" s="212"/>
    </row>
    <row r="50" spans="1:15" ht="20.25">
      <c r="A50" s="218"/>
      <c r="B50" s="209" t="s">
        <v>62</v>
      </c>
      <c r="C50" s="370"/>
      <c r="D50" s="370"/>
      <c r="E50" s="370"/>
      <c r="F50" s="370"/>
      <c r="G50" s="370"/>
      <c r="H50" s="370"/>
      <c r="O50" s="212"/>
    </row>
    <row r="51" spans="1:15" ht="20.25">
      <c r="A51" s="218"/>
      <c r="B51" s="209"/>
      <c r="C51" s="209"/>
      <c r="D51" s="209"/>
      <c r="E51" s="209"/>
      <c r="F51" s="209"/>
      <c r="G51" s="209"/>
      <c r="H51" s="209"/>
      <c r="O51" s="212"/>
    </row>
    <row r="52" spans="1:15" ht="20.25">
      <c r="A52" s="218"/>
      <c r="B52" s="209" t="s">
        <v>63</v>
      </c>
      <c r="C52" s="371"/>
      <c r="D52" s="371"/>
      <c r="E52" s="371"/>
      <c r="F52" s="371"/>
      <c r="G52" s="371"/>
      <c r="H52" s="371"/>
      <c r="O52" s="212"/>
    </row>
    <row r="53" spans="1:15" ht="20.25">
      <c r="A53" s="218"/>
      <c r="B53" s="209"/>
      <c r="C53" s="372" t="s">
        <v>64</v>
      </c>
      <c r="D53" s="372"/>
      <c r="E53" s="372"/>
      <c r="F53" s="372"/>
      <c r="G53" s="372"/>
      <c r="H53" s="209"/>
      <c r="O53" s="212"/>
    </row>
    <row r="54" spans="1:15" ht="48" customHeight="1" thickBot="1">
      <c r="A54" s="219"/>
      <c r="B54" s="220"/>
      <c r="C54" s="224"/>
      <c r="D54" s="385" t="s">
        <v>65</v>
      </c>
      <c r="E54" s="385"/>
      <c r="F54" s="385"/>
      <c r="G54" s="224"/>
      <c r="H54" s="220"/>
      <c r="I54" s="221"/>
      <c r="J54" s="221"/>
      <c r="K54" s="221"/>
      <c r="L54" s="221"/>
      <c r="M54" s="221"/>
      <c r="N54" s="221"/>
      <c r="O54" s="222"/>
    </row>
  </sheetData>
  <mergeCells count="49">
    <mergeCell ref="A45:O45"/>
    <mergeCell ref="D54:F54"/>
    <mergeCell ref="C49:H49"/>
    <mergeCell ref="A38:H38"/>
    <mergeCell ref="C47:H47"/>
    <mergeCell ref="C48:H48"/>
    <mergeCell ref="G11:M11"/>
    <mergeCell ref="G12:M12"/>
    <mergeCell ref="C50:H50"/>
    <mergeCell ref="C52:H52"/>
    <mergeCell ref="C53:G53"/>
    <mergeCell ref="A30:O30"/>
    <mergeCell ref="A31:O31"/>
    <mergeCell ref="A34:O34"/>
    <mergeCell ref="A32:O32"/>
    <mergeCell ref="A35:O35"/>
    <mergeCell ref="A39:O39"/>
    <mergeCell ref="A40:O40"/>
    <mergeCell ref="A41:O41"/>
    <mergeCell ref="A42:O42"/>
    <mergeCell ref="A43:O43"/>
    <mergeCell ref="A44:O44"/>
    <mergeCell ref="G9:M9"/>
    <mergeCell ref="G10:M10"/>
    <mergeCell ref="A1:V1"/>
    <mergeCell ref="A2:V2"/>
    <mergeCell ref="A3:V3"/>
    <mergeCell ref="G7:M7"/>
    <mergeCell ref="G4:M4"/>
    <mergeCell ref="G5:M5"/>
    <mergeCell ref="E18:P18"/>
    <mergeCell ref="I27:M27"/>
    <mergeCell ref="I28:M28"/>
    <mergeCell ref="A26:B26"/>
    <mergeCell ref="A17:V17"/>
    <mergeCell ref="U27:V28"/>
    <mergeCell ref="Q18:S18"/>
    <mergeCell ref="T18:V18"/>
    <mergeCell ref="C18:C19"/>
    <mergeCell ref="B18:B19"/>
    <mergeCell ref="A18:A19"/>
    <mergeCell ref="R30:T30"/>
    <mergeCell ref="R31:T31"/>
    <mergeCell ref="A27:C28"/>
    <mergeCell ref="P27:Q27"/>
    <mergeCell ref="P28:Q28"/>
    <mergeCell ref="S27:T28"/>
    <mergeCell ref="N27:O27"/>
    <mergeCell ref="N28:O28"/>
  </mergeCells>
  <pageMargins left="0.31496062992125984" right="0.31496062992125984" top="0.78740157480314965" bottom="0.78740157480314965" header="0.31496062992125984" footer="0.31496062992125984"/>
  <pageSetup paperSize="9"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B1:M73"/>
  <sheetViews>
    <sheetView zoomScaleNormal="100" workbookViewId="0">
      <selection activeCell="I15" sqref="I15"/>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s>
  <sheetData>
    <row r="1" spans="2:9" ht="15.75" thickBot="1"/>
    <row r="2" spans="2:9">
      <c r="B2" s="491" t="s">
        <v>67</v>
      </c>
      <c r="C2" s="492"/>
      <c r="D2" s="492"/>
      <c r="E2" s="492"/>
      <c r="F2" s="492"/>
      <c r="G2" s="492"/>
      <c r="H2" s="492"/>
      <c r="I2" s="493"/>
    </row>
    <row r="3" spans="2:9">
      <c r="B3" s="64"/>
      <c r="H3" s="65"/>
      <c r="I3" s="66"/>
    </row>
    <row r="4" spans="2:9">
      <c r="B4" s="67"/>
      <c r="C4" s="68"/>
      <c r="D4" s="68"/>
      <c r="E4" s="68"/>
      <c r="F4" s="68"/>
      <c r="G4" s="68"/>
      <c r="H4" s="69"/>
      <c r="I4" s="70"/>
    </row>
    <row r="5" spans="2:9">
      <c r="B5" s="434" t="s">
        <v>68</v>
      </c>
      <c r="C5" s="435"/>
      <c r="D5" s="435"/>
      <c r="E5" s="435"/>
      <c r="F5" s="435"/>
      <c r="G5" s="435"/>
      <c r="H5" s="435"/>
      <c r="I5" s="436"/>
    </row>
    <row r="6" spans="2:9">
      <c r="B6" s="455" t="s">
        <v>72</v>
      </c>
      <c r="C6" s="437"/>
      <c r="D6" s="437"/>
      <c r="E6" s="437"/>
      <c r="F6" s="437"/>
      <c r="G6" s="437"/>
      <c r="H6" s="437"/>
      <c r="I6" s="456"/>
    </row>
    <row r="7" spans="2:9">
      <c r="B7" s="67"/>
      <c r="C7" s="68"/>
      <c r="D7" s="68"/>
      <c r="E7" s="68"/>
      <c r="F7" s="68"/>
      <c r="G7" s="68"/>
      <c r="H7" s="69"/>
      <c r="I7" s="70"/>
    </row>
    <row r="8" spans="2:9">
      <c r="B8" s="442" t="s">
        <v>178</v>
      </c>
      <c r="C8" s="489"/>
      <c r="D8" s="489"/>
      <c r="E8" s="489"/>
      <c r="F8" s="489"/>
      <c r="G8" s="489"/>
      <c r="H8" s="490"/>
      <c r="I8" s="71">
        <f>'3 - Motorista  Micro-ônibus'!I11</f>
        <v>0</v>
      </c>
    </row>
    <row r="9" spans="2:9">
      <c r="B9" s="72"/>
      <c r="H9" s="65"/>
      <c r="I9" s="73"/>
    </row>
    <row r="10" spans="2:9">
      <c r="B10" s="439" t="s">
        <v>74</v>
      </c>
      <c r="C10" s="440"/>
      <c r="D10" s="440"/>
      <c r="E10" s="440"/>
      <c r="F10" s="440"/>
      <c r="G10" s="440"/>
      <c r="H10" s="440"/>
      <c r="I10" s="441"/>
    </row>
    <row r="11" spans="2:9">
      <c r="B11" s="72"/>
      <c r="H11" s="65"/>
      <c r="I11" s="73"/>
    </row>
    <row r="12" spans="2:9">
      <c r="B12" s="112" t="s">
        <v>75</v>
      </c>
      <c r="C12" s="472" t="s">
        <v>76</v>
      </c>
      <c r="D12" s="473"/>
      <c r="E12" s="473"/>
      <c r="F12" s="473"/>
      <c r="G12" s="473"/>
      <c r="H12" s="474"/>
      <c r="I12" s="113" t="s">
        <v>77</v>
      </c>
    </row>
    <row r="13" spans="2:9">
      <c r="B13" s="74">
        <v>1</v>
      </c>
      <c r="C13" s="584" t="s">
        <v>187</v>
      </c>
      <c r="D13" s="585"/>
      <c r="E13" s="585"/>
      <c r="F13" s="585"/>
      <c r="G13" s="585"/>
      <c r="H13" s="586"/>
      <c r="I13" s="116">
        <f>ROUND(I8/220,2)</f>
        <v>0</v>
      </c>
    </row>
    <row r="14" spans="2:9">
      <c r="B14" s="136">
        <v>2</v>
      </c>
      <c r="C14" s="584" t="s">
        <v>188</v>
      </c>
      <c r="D14" s="585"/>
      <c r="E14" s="585"/>
      <c r="F14" s="585"/>
      <c r="G14" s="585"/>
      <c r="H14" s="586"/>
      <c r="I14" s="116">
        <f>I13*0.5</f>
        <v>0</v>
      </c>
    </row>
    <row r="15" spans="2:9">
      <c r="B15" s="177">
        <v>3</v>
      </c>
      <c r="C15" s="571" t="s">
        <v>189</v>
      </c>
      <c r="D15" s="572"/>
      <c r="E15" s="572"/>
      <c r="F15" s="572"/>
      <c r="G15" s="572"/>
      <c r="H15" s="573"/>
      <c r="I15" s="246">
        <f>((I13+I14)*(5/25))</f>
        <v>0</v>
      </c>
    </row>
    <row r="16" spans="2:9">
      <c r="B16" s="442" t="s">
        <v>80</v>
      </c>
      <c r="C16" s="489"/>
      <c r="D16" s="489"/>
      <c r="E16" s="489"/>
      <c r="F16" s="489"/>
      <c r="G16" s="489"/>
      <c r="H16" s="490"/>
      <c r="I16" s="114">
        <f>SUM(I13:I15)</f>
        <v>0</v>
      </c>
    </row>
    <row r="17" spans="2:9">
      <c r="B17" s="72"/>
      <c r="H17" s="76"/>
      <c r="I17" s="73"/>
    </row>
    <row r="18" spans="2:9">
      <c r="B18" s="112" t="s">
        <v>81</v>
      </c>
      <c r="C18" s="472" t="s">
        <v>82</v>
      </c>
      <c r="D18" s="473"/>
      <c r="E18" s="473"/>
      <c r="F18" s="473"/>
      <c r="G18" s="474"/>
      <c r="H18" s="108" t="s">
        <v>83</v>
      </c>
      <c r="I18" s="113" t="s">
        <v>77</v>
      </c>
    </row>
    <row r="19" spans="2:9">
      <c r="B19" s="74">
        <v>1</v>
      </c>
      <c r="C19" s="425" t="s">
        <v>84</v>
      </c>
      <c r="D19" s="426"/>
      <c r="E19" s="426"/>
      <c r="F19" s="426"/>
      <c r="G19" s="427"/>
      <c r="H19" s="249">
        <v>0.2</v>
      </c>
      <c r="I19" s="116">
        <f>ROUND($I$16*H19,2)</f>
        <v>0</v>
      </c>
    </row>
    <row r="20" spans="2:9">
      <c r="B20" s="74">
        <v>2</v>
      </c>
      <c r="C20" s="425" t="s">
        <v>85</v>
      </c>
      <c r="D20" s="426"/>
      <c r="E20" s="426"/>
      <c r="F20" s="426"/>
      <c r="G20" s="427"/>
      <c r="H20" s="249">
        <v>1.4999999999999999E-2</v>
      </c>
      <c r="I20" s="116">
        <f t="shared" ref="I20:I26" si="0">ROUND($I$16*H20,2)</f>
        <v>0</v>
      </c>
    </row>
    <row r="21" spans="2:9">
      <c r="B21" s="74">
        <v>3</v>
      </c>
      <c r="C21" s="425" t="s">
        <v>86</v>
      </c>
      <c r="D21" s="426"/>
      <c r="E21" s="426"/>
      <c r="F21" s="426"/>
      <c r="G21" s="427"/>
      <c r="H21" s="249">
        <v>0.01</v>
      </c>
      <c r="I21" s="116">
        <f t="shared" si="0"/>
        <v>0</v>
      </c>
    </row>
    <row r="22" spans="2:9">
      <c r="B22" s="74">
        <v>4</v>
      </c>
      <c r="C22" s="425" t="s">
        <v>87</v>
      </c>
      <c r="D22" s="426"/>
      <c r="E22" s="426"/>
      <c r="F22" s="426"/>
      <c r="G22" s="427"/>
      <c r="H22" s="249">
        <v>2E-3</v>
      </c>
      <c r="I22" s="116">
        <f t="shared" si="0"/>
        <v>0</v>
      </c>
    </row>
    <row r="23" spans="2:9">
      <c r="B23" s="74">
        <v>5</v>
      </c>
      <c r="C23" s="425" t="s">
        <v>88</v>
      </c>
      <c r="D23" s="426"/>
      <c r="E23" s="426"/>
      <c r="F23" s="426"/>
      <c r="G23" s="427"/>
      <c r="H23" s="249">
        <v>2.5000000000000001E-2</v>
      </c>
      <c r="I23" s="116">
        <f t="shared" si="0"/>
        <v>0</v>
      </c>
    </row>
    <row r="24" spans="2:9">
      <c r="B24" s="74">
        <v>6</v>
      </c>
      <c r="C24" s="425" t="s">
        <v>89</v>
      </c>
      <c r="D24" s="426"/>
      <c r="E24" s="426"/>
      <c r="F24" s="426"/>
      <c r="G24" s="427"/>
      <c r="H24" s="249">
        <v>0.08</v>
      </c>
      <c r="I24" s="116">
        <f t="shared" si="0"/>
        <v>0</v>
      </c>
    </row>
    <row r="25" spans="2:9">
      <c r="B25" s="74">
        <v>7</v>
      </c>
      <c r="C25" s="1" t="s">
        <v>90</v>
      </c>
      <c r="D25" s="305" t="s">
        <v>91</v>
      </c>
      <c r="E25" s="306">
        <v>0.03</v>
      </c>
      <c r="F25" s="305" t="s">
        <v>92</v>
      </c>
      <c r="G25" s="307">
        <v>1</v>
      </c>
      <c r="H25" s="249">
        <f>E25*G25</f>
        <v>0.03</v>
      </c>
      <c r="I25" s="116">
        <f t="shared" si="0"/>
        <v>0</v>
      </c>
    </row>
    <row r="26" spans="2:9">
      <c r="B26" s="74">
        <v>8</v>
      </c>
      <c r="C26" s="425" t="s">
        <v>93</v>
      </c>
      <c r="D26" s="426"/>
      <c r="E26" s="426"/>
      <c r="F26" s="426"/>
      <c r="G26" s="427"/>
      <c r="H26" s="249">
        <v>6.0000000000000001E-3</v>
      </c>
      <c r="I26" s="116">
        <f t="shared" si="0"/>
        <v>0</v>
      </c>
    </row>
    <row r="27" spans="2:9">
      <c r="B27" s="442" t="s">
        <v>80</v>
      </c>
      <c r="C27" s="489"/>
      <c r="D27" s="489"/>
      <c r="E27" s="489"/>
      <c r="F27" s="489"/>
      <c r="G27" s="490"/>
      <c r="H27" s="6">
        <f>SUM(H19:H26)</f>
        <v>0.3680000000000001</v>
      </c>
      <c r="I27" s="114">
        <f>SUM(I19:I26)</f>
        <v>0</v>
      </c>
    </row>
    <row r="28" spans="2:9">
      <c r="B28" s="72"/>
      <c r="H28" s="76"/>
      <c r="I28" s="73"/>
    </row>
    <row r="29" spans="2:9">
      <c r="B29" s="112" t="s">
        <v>94</v>
      </c>
      <c r="C29" s="472" t="s">
        <v>95</v>
      </c>
      <c r="D29" s="473"/>
      <c r="E29" s="473"/>
      <c r="F29" s="473"/>
      <c r="G29" s="474"/>
      <c r="H29" s="108" t="s">
        <v>83</v>
      </c>
      <c r="I29" s="113" t="s">
        <v>77</v>
      </c>
    </row>
    <row r="30" spans="2:9">
      <c r="B30" s="74">
        <v>1</v>
      </c>
      <c r="C30" s="465" t="s">
        <v>96</v>
      </c>
      <c r="D30" s="466"/>
      <c r="E30" s="466"/>
      <c r="F30" s="466"/>
      <c r="G30" s="475"/>
      <c r="H30" s="225">
        <f>ROUND(1/12,4)</f>
        <v>8.3299999999999999E-2</v>
      </c>
      <c r="I30" s="116">
        <f>ROUND($I$16*H30,2)</f>
        <v>0</v>
      </c>
    </row>
    <row r="31" spans="2:9">
      <c r="B31" s="74">
        <v>2</v>
      </c>
      <c r="C31" s="467" t="s">
        <v>97</v>
      </c>
      <c r="D31" s="468"/>
      <c r="E31" s="468"/>
      <c r="F31" s="468"/>
      <c r="G31" s="469"/>
      <c r="H31" s="231">
        <v>3.0249999999999999E-2</v>
      </c>
      <c r="I31" s="116">
        <f>ROUND($I$16*H31,2)</f>
        <v>0</v>
      </c>
    </row>
    <row r="32" spans="2:9">
      <c r="B32" s="74">
        <v>3</v>
      </c>
      <c r="C32" s="467" t="s">
        <v>98</v>
      </c>
      <c r="D32" s="468"/>
      <c r="E32" s="468"/>
      <c r="F32" s="468"/>
      <c r="G32" s="469"/>
      <c r="H32" s="232">
        <f>ROUND((H30+H31)*H27,4)</f>
        <v>4.1799999999999997E-2</v>
      </c>
      <c r="I32" s="116">
        <f>ROUND($I$16*H32,2)</f>
        <v>0</v>
      </c>
    </row>
    <row r="33" spans="2:11">
      <c r="B33" s="442" t="s">
        <v>80</v>
      </c>
      <c r="C33" s="489"/>
      <c r="D33" s="489"/>
      <c r="E33" s="489"/>
      <c r="F33" s="489"/>
      <c r="G33" s="490"/>
      <c r="H33" s="6">
        <f>SUM(H30:H32)</f>
        <v>0.15534999999999999</v>
      </c>
      <c r="I33" s="114">
        <f>SUM(I30:I32)</f>
        <v>0</v>
      </c>
    </row>
    <row r="34" spans="2:11">
      <c r="B34" s="72"/>
      <c r="H34" s="76"/>
      <c r="I34" s="73"/>
      <c r="K34" s="7"/>
    </row>
    <row r="35" spans="2:11">
      <c r="B35" s="112" t="s">
        <v>99</v>
      </c>
      <c r="C35" s="472" t="s">
        <v>100</v>
      </c>
      <c r="D35" s="473"/>
      <c r="E35" s="473"/>
      <c r="F35" s="473"/>
      <c r="G35" s="474"/>
      <c r="H35" s="108" t="s">
        <v>83</v>
      </c>
      <c r="I35" s="113" t="s">
        <v>77</v>
      </c>
    </row>
    <row r="36" spans="2:11">
      <c r="B36" s="74">
        <v>1</v>
      </c>
      <c r="C36" s="467" t="s">
        <v>101</v>
      </c>
      <c r="D36" s="468"/>
      <c r="E36" s="468"/>
      <c r="F36" s="468"/>
      <c r="G36" s="469"/>
      <c r="H36" s="243">
        <f>(1+(1/12)+(1/12)+(1/12/3))/12*0.05</f>
        <v>4.9768518518518512E-3</v>
      </c>
      <c r="I36" s="116">
        <f>ROUND($I$16*H36,2)</f>
        <v>0</v>
      </c>
    </row>
    <row r="37" spans="2:11">
      <c r="B37" s="74">
        <v>2</v>
      </c>
      <c r="C37" s="465" t="s">
        <v>102</v>
      </c>
      <c r="D37" s="466"/>
      <c r="E37" s="466"/>
      <c r="F37" s="466"/>
      <c r="G37" s="475"/>
      <c r="H37" s="243">
        <f>H36*0.08</f>
        <v>3.9814814814814812E-4</v>
      </c>
      <c r="I37" s="116">
        <f>ROUND($I$16*H37,2)</f>
        <v>0</v>
      </c>
    </row>
    <row r="38" spans="2:11">
      <c r="B38" s="74">
        <v>4</v>
      </c>
      <c r="C38" s="467" t="s">
        <v>103</v>
      </c>
      <c r="D38" s="468"/>
      <c r="E38" s="468"/>
      <c r="F38" s="468"/>
      <c r="G38" s="469"/>
      <c r="H38" s="244">
        <f>(7/30/12)*0.9</f>
        <v>1.7500000000000002E-2</v>
      </c>
      <c r="I38" s="116">
        <f>ROUND($I$16*H38,2)</f>
        <v>0</v>
      </c>
      <c r="J38" s="13"/>
      <c r="K38" s="3"/>
    </row>
    <row r="39" spans="2:11">
      <c r="B39" s="74">
        <v>5</v>
      </c>
      <c r="C39" s="467" t="s">
        <v>104</v>
      </c>
      <c r="D39" s="468"/>
      <c r="E39" s="468"/>
      <c r="F39" s="468"/>
      <c r="G39" s="469"/>
      <c r="H39" s="244">
        <f>H38*$H$27</f>
        <v>6.4400000000000021E-3</v>
      </c>
      <c r="I39" s="116">
        <f>ROUND($I$16*H39,2)</f>
        <v>0</v>
      </c>
      <c r="J39" s="13"/>
      <c r="K39" s="3"/>
    </row>
    <row r="40" spans="2:11">
      <c r="B40" s="74">
        <v>6</v>
      </c>
      <c r="C40" s="467" t="s">
        <v>105</v>
      </c>
      <c r="D40" s="468"/>
      <c r="E40" s="468"/>
      <c r="F40" s="468"/>
      <c r="G40" s="469"/>
      <c r="H40" s="244">
        <v>0.04</v>
      </c>
      <c r="I40" s="116">
        <f>ROUND($I$16*H40,2)</f>
        <v>0</v>
      </c>
      <c r="J40" s="13"/>
      <c r="K40" s="3"/>
    </row>
    <row r="41" spans="2:11">
      <c r="B41" s="442" t="s">
        <v>80</v>
      </c>
      <c r="C41" s="489"/>
      <c r="D41" s="489"/>
      <c r="E41" s="489"/>
      <c r="F41" s="489"/>
      <c r="G41" s="490"/>
      <c r="H41" s="6">
        <f>SUM(H36:H40)</f>
        <v>6.9315000000000002E-2</v>
      </c>
      <c r="I41" s="114">
        <f>SUM(I36:I40)</f>
        <v>0</v>
      </c>
      <c r="J41" s="13"/>
      <c r="K41" s="3"/>
    </row>
    <row r="42" spans="2:11">
      <c r="B42" s="72"/>
      <c r="H42" s="76"/>
      <c r="I42" s="73"/>
      <c r="J42" s="13"/>
      <c r="K42" s="3"/>
    </row>
    <row r="43" spans="2:11">
      <c r="B43" s="442" t="s">
        <v>190</v>
      </c>
      <c r="C43" s="489"/>
      <c r="D43" s="489"/>
      <c r="E43" s="489"/>
      <c r="F43" s="489"/>
      <c r="G43" s="489"/>
      <c r="H43" s="490"/>
      <c r="I43" s="114">
        <f>I16+I27+I33+I41</f>
        <v>0</v>
      </c>
      <c r="J43" s="13"/>
      <c r="K43" s="3"/>
    </row>
    <row r="44" spans="2:11">
      <c r="B44" s="81"/>
      <c r="C44" s="82"/>
      <c r="D44" s="82"/>
      <c r="E44" s="82"/>
      <c r="F44" s="82"/>
      <c r="G44" s="82"/>
      <c r="H44" s="82"/>
      <c r="I44" s="83"/>
      <c r="K44" s="8"/>
    </row>
    <row r="45" spans="2:11">
      <c r="B45" s="439" t="s">
        <v>119</v>
      </c>
      <c r="C45" s="440"/>
      <c r="D45" s="440"/>
      <c r="E45" s="440"/>
      <c r="F45" s="440"/>
      <c r="G45" s="440"/>
      <c r="H45" s="440"/>
      <c r="I45" s="441"/>
      <c r="J45" s="3"/>
      <c r="K45" s="8"/>
    </row>
    <row r="46" spans="2:11">
      <c r="B46" s="72"/>
      <c r="H46" s="65"/>
      <c r="I46" s="73"/>
      <c r="K46" s="8"/>
    </row>
    <row r="47" spans="2:11">
      <c r="B47" s="112" t="s">
        <v>75</v>
      </c>
      <c r="C47" s="472" t="s">
        <v>120</v>
      </c>
      <c r="D47" s="473"/>
      <c r="E47" s="473"/>
      <c r="F47" s="473"/>
      <c r="G47" s="473"/>
      <c r="H47" s="590"/>
      <c r="I47" s="113" t="s">
        <v>77</v>
      </c>
      <c r="K47" s="8"/>
    </row>
    <row r="48" spans="2:11">
      <c r="B48" s="74">
        <v>1</v>
      </c>
      <c r="C48" s="465" t="s">
        <v>123</v>
      </c>
      <c r="D48" s="466"/>
      <c r="E48" s="466"/>
      <c r="F48" s="466"/>
      <c r="G48" s="466"/>
      <c r="H48" s="297">
        <v>0</v>
      </c>
      <c r="I48" s="241">
        <f>(I43)*H48</f>
        <v>0</v>
      </c>
    </row>
    <row r="49" spans="2:11">
      <c r="B49" s="74">
        <v>2</v>
      </c>
      <c r="C49" s="465" t="s">
        <v>124</v>
      </c>
      <c r="D49" s="466"/>
      <c r="E49" s="466"/>
      <c r="F49" s="466"/>
      <c r="G49" s="466"/>
      <c r="H49" s="297">
        <v>0</v>
      </c>
      <c r="I49" s="241">
        <f>(I43+I48)*H49</f>
        <v>0</v>
      </c>
    </row>
    <row r="50" spans="2:11">
      <c r="B50" s="72"/>
      <c r="C50" s="79"/>
      <c r="D50" s="79"/>
      <c r="E50" s="79"/>
      <c r="F50" s="79"/>
      <c r="G50" s="79"/>
      <c r="H50"/>
      <c r="I50" s="121"/>
      <c r="J50" s="14"/>
      <c r="K50" s="13"/>
    </row>
    <row r="51" spans="2:11">
      <c r="B51" s="434" t="s">
        <v>191</v>
      </c>
      <c r="C51" s="435"/>
      <c r="D51" s="435"/>
      <c r="E51" s="435"/>
      <c r="F51" s="435"/>
      <c r="G51" s="435"/>
      <c r="H51" s="435"/>
      <c r="I51" s="114">
        <f>SUM(I48:I49)</f>
        <v>0</v>
      </c>
      <c r="J51" s="14"/>
    </row>
    <row r="52" spans="2:11">
      <c r="B52" s="81"/>
      <c r="C52" s="82"/>
      <c r="D52" s="82"/>
      <c r="E52" s="82"/>
      <c r="F52" s="82"/>
      <c r="G52" s="82"/>
      <c r="H52" s="82"/>
      <c r="I52" s="83"/>
    </row>
    <row r="53" spans="2:11">
      <c r="B53" s="439" t="s">
        <v>133</v>
      </c>
      <c r="C53" s="440"/>
      <c r="D53" s="440"/>
      <c r="E53" s="440"/>
      <c r="F53" s="440"/>
      <c r="G53" s="440"/>
      <c r="H53" s="440"/>
      <c r="I53" s="441"/>
      <c r="K53" s="8"/>
    </row>
    <row r="54" spans="2:11">
      <c r="B54" s="72"/>
      <c r="H54" s="65"/>
      <c r="I54" s="73"/>
      <c r="K54" s="8"/>
    </row>
    <row r="55" spans="2:11">
      <c r="B55" s="112" t="s">
        <v>75</v>
      </c>
      <c r="C55" s="472" t="s">
        <v>134</v>
      </c>
      <c r="D55" s="473"/>
      <c r="E55" s="473"/>
      <c r="F55" s="473"/>
      <c r="G55" s="474"/>
      <c r="H55" s="108" t="s">
        <v>83</v>
      </c>
      <c r="I55" s="113" t="s">
        <v>77</v>
      </c>
      <c r="K55" s="8"/>
    </row>
    <row r="56" spans="2:11">
      <c r="B56" s="74">
        <v>1</v>
      </c>
      <c r="C56" s="425" t="s">
        <v>135</v>
      </c>
      <c r="D56" s="426"/>
      <c r="E56" s="426"/>
      <c r="F56" s="426"/>
      <c r="G56" s="427"/>
      <c r="H56" s="249">
        <v>7.5999999999999998E-2</v>
      </c>
      <c r="I56" s="116">
        <f>$I$60/$H$60*H56</f>
        <v>0</v>
      </c>
      <c r="K56" s="8"/>
    </row>
    <row r="57" spans="2:11">
      <c r="B57" s="74">
        <v>2</v>
      </c>
      <c r="C57" s="425" t="s">
        <v>136</v>
      </c>
      <c r="D57" s="426"/>
      <c r="E57" s="426"/>
      <c r="F57" s="426"/>
      <c r="G57" s="427"/>
      <c r="H57" s="249">
        <v>1.6500000000000001E-2</v>
      </c>
      <c r="I57" s="116">
        <f>$I$60/$H$60*H57</f>
        <v>0</v>
      </c>
      <c r="K57" s="8"/>
    </row>
    <row r="58" spans="2:11">
      <c r="B58" s="74">
        <v>3</v>
      </c>
      <c r="C58" s="425" t="s">
        <v>137</v>
      </c>
      <c r="D58" s="426"/>
      <c r="E58" s="426"/>
      <c r="F58" s="426"/>
      <c r="G58" s="427"/>
      <c r="H58" s="249">
        <v>0.05</v>
      </c>
      <c r="I58" s="116">
        <f>$I$60/$H$60*H58</f>
        <v>0</v>
      </c>
      <c r="K58" s="8"/>
    </row>
    <row r="59" spans="2:11">
      <c r="B59" s="193">
        <v>4</v>
      </c>
      <c r="C59" s="425" t="s">
        <v>138</v>
      </c>
      <c r="D59" s="426"/>
      <c r="E59" s="426"/>
      <c r="F59" s="426"/>
      <c r="G59" s="427"/>
      <c r="H59" s="249">
        <v>0</v>
      </c>
      <c r="I59" s="116">
        <f>$I$60/$H$60*H59</f>
        <v>0</v>
      </c>
      <c r="K59" s="8"/>
    </row>
    <row r="60" spans="2:11">
      <c r="B60" s="442" t="s">
        <v>80</v>
      </c>
      <c r="C60" s="489"/>
      <c r="D60" s="489"/>
      <c r="E60" s="489"/>
      <c r="F60" s="489"/>
      <c r="G60" s="490"/>
      <c r="H60" s="4">
        <f>SUM(H56:H59)</f>
        <v>0.14250000000000002</v>
      </c>
      <c r="I60" s="114">
        <f>ROUND(((I43+I51)*$H$60)/(1-$H$60),2)</f>
        <v>0</v>
      </c>
      <c r="K60" s="8"/>
    </row>
    <row r="61" spans="2:11">
      <c r="B61" s="72"/>
      <c r="H61" s="65"/>
      <c r="I61" s="121"/>
      <c r="K61" s="8"/>
    </row>
    <row r="62" spans="2:11">
      <c r="B62" s="442" t="s">
        <v>192</v>
      </c>
      <c r="C62" s="489"/>
      <c r="D62" s="489"/>
      <c r="E62" s="489"/>
      <c r="F62" s="489"/>
      <c r="G62" s="489"/>
      <c r="H62" s="490"/>
      <c r="I62" s="114">
        <f>I60</f>
        <v>0</v>
      </c>
      <c r="K62" s="8"/>
    </row>
    <row r="63" spans="2:11">
      <c r="B63" s="72"/>
      <c r="H63" s="65"/>
      <c r="I63" s="73"/>
      <c r="K63" s="8"/>
    </row>
    <row r="64" spans="2:11">
      <c r="B64" s="439" t="s">
        <v>36</v>
      </c>
      <c r="C64" s="440"/>
      <c r="D64" s="440"/>
      <c r="E64" s="440"/>
      <c r="F64" s="440"/>
      <c r="G64" s="440"/>
      <c r="H64" s="440"/>
      <c r="I64" s="441"/>
      <c r="K64" s="8"/>
    </row>
    <row r="65" spans="2:13">
      <c r="B65" s="72"/>
      <c r="H65" s="65"/>
      <c r="I65" s="73"/>
      <c r="K65" s="8"/>
    </row>
    <row r="66" spans="2:13">
      <c r="B66" s="442" t="s">
        <v>193</v>
      </c>
      <c r="C66" s="489"/>
      <c r="D66" s="489"/>
      <c r="E66" s="489"/>
      <c r="F66" s="489"/>
      <c r="G66" s="489"/>
      <c r="H66" s="490"/>
      <c r="I66" s="114">
        <f>I43+I51+I62</f>
        <v>0</v>
      </c>
      <c r="K66" s="8"/>
    </row>
    <row r="67" spans="2:13">
      <c r="B67" s="78"/>
      <c r="C67" s="79"/>
      <c r="D67" s="79"/>
      <c r="E67" s="79"/>
      <c r="F67" s="79"/>
      <c r="G67" s="79"/>
      <c r="H67" s="80"/>
      <c r="I67" s="121"/>
      <c r="K67" s="8"/>
    </row>
    <row r="68" spans="2:13">
      <c r="B68" s="599" t="s">
        <v>186</v>
      </c>
      <c r="C68" s="600"/>
      <c r="D68" s="600"/>
      <c r="E68" s="600"/>
      <c r="F68" s="600"/>
      <c r="G68" s="600"/>
      <c r="H68" s="600"/>
      <c r="I68" s="114">
        <f>I66*20</f>
        <v>0</v>
      </c>
      <c r="K68" s="8"/>
      <c r="M68" s="12"/>
    </row>
    <row r="69" spans="2:13">
      <c r="B69" s="72"/>
      <c r="H69" s="65"/>
      <c r="I69" s="121"/>
      <c r="K69" s="8"/>
    </row>
    <row r="70" spans="2:13" ht="15.75" thickBot="1">
      <c r="B70" s="494" t="s">
        <v>195</v>
      </c>
      <c r="C70" s="495"/>
      <c r="D70" s="495"/>
      <c r="E70" s="495"/>
      <c r="F70" s="495"/>
      <c r="G70" s="495"/>
      <c r="H70" s="495"/>
      <c r="I70" s="247">
        <f>I68*1</f>
        <v>0</v>
      </c>
      <c r="K70" s="8"/>
    </row>
    <row r="71" spans="2:13">
      <c r="E71" s="394"/>
      <c r="F71" s="394"/>
      <c r="G71" s="394"/>
      <c r="H71" s="394"/>
      <c r="I71" s="394"/>
    </row>
    <row r="72" spans="2:13" ht="18">
      <c r="E72" s="395"/>
      <c r="F72" s="395"/>
      <c r="G72" s="396"/>
      <c r="H72" s="396"/>
      <c r="I72" s="396"/>
    </row>
    <row r="73" spans="2:13">
      <c r="B73" s="397"/>
      <c r="C73" s="397"/>
      <c r="D73" s="397"/>
      <c r="E73" s="397"/>
      <c r="F73" s="397"/>
      <c r="G73" s="397"/>
    </row>
  </sheetData>
  <sheetProtection selectLockedCells="1"/>
  <mergeCells count="54">
    <mergeCell ref="B2:I2"/>
    <mergeCell ref="B5:I5"/>
    <mergeCell ref="C20:G20"/>
    <mergeCell ref="B6:I6"/>
    <mergeCell ref="B8:H8"/>
    <mergeCell ref="B10:I10"/>
    <mergeCell ref="C12:H12"/>
    <mergeCell ref="C13:H13"/>
    <mergeCell ref="C14:H14"/>
    <mergeCell ref="C15:H15"/>
    <mergeCell ref="B16:H16"/>
    <mergeCell ref="C18:G18"/>
    <mergeCell ref="C19:G19"/>
    <mergeCell ref="C49:G49"/>
    <mergeCell ref="C35:G35"/>
    <mergeCell ref="C21:G21"/>
    <mergeCell ref="C22:G22"/>
    <mergeCell ref="C23:G23"/>
    <mergeCell ref="C24:G24"/>
    <mergeCell ref="C26:G26"/>
    <mergeCell ref="B27:G27"/>
    <mergeCell ref="C29:G29"/>
    <mergeCell ref="C30:G30"/>
    <mergeCell ref="C31:G31"/>
    <mergeCell ref="C32:G32"/>
    <mergeCell ref="B33:G33"/>
    <mergeCell ref="B41:G41"/>
    <mergeCell ref="B43:H43"/>
    <mergeCell ref="B45:I45"/>
    <mergeCell ref="C47:H47"/>
    <mergeCell ref="C48:G48"/>
    <mergeCell ref="C36:G36"/>
    <mergeCell ref="C37:G37"/>
    <mergeCell ref="C38:G38"/>
    <mergeCell ref="C39:G39"/>
    <mergeCell ref="C40:G40"/>
    <mergeCell ref="B70:H70"/>
    <mergeCell ref="B51:H51"/>
    <mergeCell ref="B53:I53"/>
    <mergeCell ref="C55:G55"/>
    <mergeCell ref="C56:G56"/>
    <mergeCell ref="C57:G57"/>
    <mergeCell ref="C58:G58"/>
    <mergeCell ref="B60:G60"/>
    <mergeCell ref="B62:H62"/>
    <mergeCell ref="B64:I64"/>
    <mergeCell ref="B66:H66"/>
    <mergeCell ref="B68:H68"/>
    <mergeCell ref="C59:G59"/>
    <mergeCell ref="E71:F71"/>
    <mergeCell ref="G71:I71"/>
    <mergeCell ref="E72:F72"/>
    <mergeCell ref="G72:I72"/>
    <mergeCell ref="B73:G73"/>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B1:M73"/>
  <sheetViews>
    <sheetView zoomScaleNormal="100" workbookViewId="0">
      <selection activeCell="H25" sqref="H25"/>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s>
  <sheetData>
    <row r="1" spans="2:9" ht="15.75" thickBot="1"/>
    <row r="2" spans="2:9">
      <c r="B2" s="496" t="s">
        <v>67</v>
      </c>
      <c r="C2" s="497"/>
      <c r="D2" s="497"/>
      <c r="E2" s="497"/>
      <c r="F2" s="497"/>
      <c r="G2" s="497"/>
      <c r="H2" s="497"/>
      <c r="I2" s="498"/>
    </row>
    <row r="3" spans="2:9">
      <c r="B3" s="64"/>
      <c r="H3" s="65"/>
      <c r="I3" s="66"/>
    </row>
    <row r="4" spans="2:9">
      <c r="B4" s="67"/>
      <c r="C4" s="68"/>
      <c r="D4" s="68"/>
      <c r="E4" s="68"/>
      <c r="F4" s="68"/>
      <c r="G4" s="68"/>
      <c r="H4" s="69"/>
      <c r="I4" s="70"/>
    </row>
    <row r="5" spans="2:9">
      <c r="B5" s="434" t="s">
        <v>68</v>
      </c>
      <c r="C5" s="435"/>
      <c r="D5" s="435"/>
      <c r="E5" s="435"/>
      <c r="F5" s="435"/>
      <c r="G5" s="435"/>
      <c r="H5" s="435"/>
      <c r="I5" s="436"/>
    </row>
    <row r="6" spans="2:9">
      <c r="B6" s="455" t="s">
        <v>72</v>
      </c>
      <c r="C6" s="437"/>
      <c r="D6" s="437"/>
      <c r="E6" s="437"/>
      <c r="F6" s="437"/>
      <c r="G6" s="437"/>
      <c r="H6" s="437"/>
      <c r="I6" s="456"/>
    </row>
    <row r="7" spans="2:9">
      <c r="B7" s="67"/>
      <c r="C7" s="68"/>
      <c r="D7" s="68"/>
      <c r="E7" s="68"/>
      <c r="F7" s="68"/>
      <c r="G7" s="68"/>
      <c r="H7" s="69"/>
      <c r="I7" s="70"/>
    </row>
    <row r="8" spans="2:9">
      <c r="B8" s="442" t="s">
        <v>178</v>
      </c>
      <c r="C8" s="489"/>
      <c r="D8" s="489"/>
      <c r="E8" s="489"/>
      <c r="F8" s="489"/>
      <c r="G8" s="489"/>
      <c r="H8" s="490"/>
      <c r="I8" s="71">
        <f>'4 - Motorista M. Ônibus Noturno'!I11</f>
        <v>0</v>
      </c>
    </row>
    <row r="9" spans="2:9">
      <c r="B9" s="72"/>
      <c r="H9" s="65"/>
      <c r="I9" s="73"/>
    </row>
    <row r="10" spans="2:9">
      <c r="B10" s="439" t="s">
        <v>74</v>
      </c>
      <c r="C10" s="440"/>
      <c r="D10" s="440"/>
      <c r="E10" s="440"/>
      <c r="F10" s="440"/>
      <c r="G10" s="440"/>
      <c r="H10" s="440"/>
      <c r="I10" s="441"/>
    </row>
    <row r="11" spans="2:9">
      <c r="B11" s="72"/>
      <c r="H11" s="65"/>
      <c r="I11" s="73"/>
    </row>
    <row r="12" spans="2:9">
      <c r="B12" s="112" t="s">
        <v>75</v>
      </c>
      <c r="C12" s="472" t="s">
        <v>76</v>
      </c>
      <c r="D12" s="473"/>
      <c r="E12" s="473"/>
      <c r="F12" s="473"/>
      <c r="G12" s="473"/>
      <c r="H12" s="474"/>
      <c r="I12" s="113" t="s">
        <v>77</v>
      </c>
    </row>
    <row r="13" spans="2:9">
      <c r="B13" s="177">
        <v>1</v>
      </c>
      <c r="C13" s="571" t="s">
        <v>196</v>
      </c>
      <c r="D13" s="572"/>
      <c r="E13" s="572"/>
      <c r="F13" s="572"/>
      <c r="G13" s="572"/>
      <c r="H13" s="573"/>
      <c r="I13" s="246">
        <f>(ROUND(I8/220,2))*(60/52.5)</f>
        <v>0</v>
      </c>
    </row>
    <row r="14" spans="2:9">
      <c r="B14" s="172">
        <v>2</v>
      </c>
      <c r="C14" s="173" t="s">
        <v>197</v>
      </c>
      <c r="D14" s="174"/>
      <c r="E14" s="174"/>
      <c r="F14" s="174"/>
      <c r="G14" s="174"/>
      <c r="H14" s="175"/>
      <c r="I14" s="246">
        <f>I13*0.2</f>
        <v>0</v>
      </c>
    </row>
    <row r="15" spans="2:9">
      <c r="B15" s="172">
        <v>3</v>
      </c>
      <c r="C15" s="571" t="s">
        <v>188</v>
      </c>
      <c r="D15" s="572"/>
      <c r="E15" s="572"/>
      <c r="F15" s="572"/>
      <c r="G15" s="572"/>
      <c r="H15" s="573"/>
      <c r="I15" s="246">
        <f>(I13+I14)*0.5</f>
        <v>0</v>
      </c>
    </row>
    <row r="16" spans="2:9">
      <c r="B16" s="177">
        <v>4</v>
      </c>
      <c r="C16" s="571" t="s">
        <v>189</v>
      </c>
      <c r="D16" s="572"/>
      <c r="E16" s="572"/>
      <c r="F16" s="572"/>
      <c r="G16" s="572"/>
      <c r="H16" s="573"/>
      <c r="I16" s="246">
        <f>((I13+I14+I15)*(5/25))</f>
        <v>0</v>
      </c>
    </row>
    <row r="17" spans="2:9">
      <c r="B17" s="482" t="s">
        <v>80</v>
      </c>
      <c r="C17" s="483"/>
      <c r="D17" s="483"/>
      <c r="E17" s="483"/>
      <c r="F17" s="483"/>
      <c r="G17" s="483"/>
      <c r="H17" s="484"/>
      <c r="I17" s="183">
        <f>SUM(I13:I16)</f>
        <v>0</v>
      </c>
    </row>
    <row r="18" spans="2:9">
      <c r="B18" s="72"/>
      <c r="H18" s="76"/>
      <c r="I18" s="73"/>
    </row>
    <row r="19" spans="2:9">
      <c r="B19" s="112" t="s">
        <v>81</v>
      </c>
      <c r="C19" s="472" t="s">
        <v>82</v>
      </c>
      <c r="D19" s="473"/>
      <c r="E19" s="473"/>
      <c r="F19" s="473"/>
      <c r="G19" s="474"/>
      <c r="H19" s="108" t="s">
        <v>83</v>
      </c>
      <c r="I19" s="113" t="s">
        <v>77</v>
      </c>
    </row>
    <row r="20" spans="2:9">
      <c r="B20" s="74">
        <v>1</v>
      </c>
      <c r="C20" s="425" t="s">
        <v>84</v>
      </c>
      <c r="D20" s="426"/>
      <c r="E20" s="426"/>
      <c r="F20" s="426"/>
      <c r="G20" s="427"/>
      <c r="H20" s="249">
        <v>0.2</v>
      </c>
      <c r="I20" s="116">
        <f t="shared" ref="I20:I27" si="0">ROUND($I$17*H20,2)</f>
        <v>0</v>
      </c>
    </row>
    <row r="21" spans="2:9">
      <c r="B21" s="74">
        <v>2</v>
      </c>
      <c r="C21" s="425" t="s">
        <v>85</v>
      </c>
      <c r="D21" s="426"/>
      <c r="E21" s="426"/>
      <c r="F21" s="426"/>
      <c r="G21" s="427"/>
      <c r="H21" s="249">
        <v>1.4999999999999999E-2</v>
      </c>
      <c r="I21" s="116">
        <f t="shared" si="0"/>
        <v>0</v>
      </c>
    </row>
    <row r="22" spans="2:9">
      <c r="B22" s="74">
        <v>3</v>
      </c>
      <c r="C22" s="425" t="s">
        <v>86</v>
      </c>
      <c r="D22" s="426"/>
      <c r="E22" s="426"/>
      <c r="F22" s="426"/>
      <c r="G22" s="427"/>
      <c r="H22" s="249">
        <v>0.01</v>
      </c>
      <c r="I22" s="116">
        <f t="shared" si="0"/>
        <v>0</v>
      </c>
    </row>
    <row r="23" spans="2:9">
      <c r="B23" s="74">
        <v>4</v>
      </c>
      <c r="C23" s="425" t="s">
        <v>87</v>
      </c>
      <c r="D23" s="426"/>
      <c r="E23" s="426"/>
      <c r="F23" s="426"/>
      <c r="G23" s="427"/>
      <c r="H23" s="249">
        <v>2E-3</v>
      </c>
      <c r="I23" s="116">
        <f t="shared" si="0"/>
        <v>0</v>
      </c>
    </row>
    <row r="24" spans="2:9">
      <c r="B24" s="74">
        <v>5</v>
      </c>
      <c r="C24" s="425" t="s">
        <v>88</v>
      </c>
      <c r="D24" s="426"/>
      <c r="E24" s="426"/>
      <c r="F24" s="426"/>
      <c r="G24" s="427"/>
      <c r="H24" s="249">
        <v>2.5000000000000001E-2</v>
      </c>
      <c r="I24" s="116">
        <f t="shared" si="0"/>
        <v>0</v>
      </c>
    </row>
    <row r="25" spans="2:9">
      <c r="B25" s="74">
        <v>6</v>
      </c>
      <c r="C25" s="425" t="s">
        <v>89</v>
      </c>
      <c r="D25" s="426"/>
      <c r="E25" s="426"/>
      <c r="F25" s="426"/>
      <c r="G25" s="427"/>
      <c r="H25" s="249">
        <v>0.08</v>
      </c>
      <c r="I25" s="116">
        <f t="shared" si="0"/>
        <v>0</v>
      </c>
    </row>
    <row r="26" spans="2:9">
      <c r="B26" s="74">
        <v>7</v>
      </c>
      <c r="C26" s="1" t="s">
        <v>90</v>
      </c>
      <c r="D26" s="305" t="s">
        <v>91</v>
      </c>
      <c r="E26" s="306">
        <v>0.03</v>
      </c>
      <c r="F26" s="305" t="s">
        <v>92</v>
      </c>
      <c r="G26" s="307">
        <v>1</v>
      </c>
      <c r="H26" s="249">
        <f>E26*G26</f>
        <v>0.03</v>
      </c>
      <c r="I26" s="116">
        <f t="shared" si="0"/>
        <v>0</v>
      </c>
    </row>
    <row r="27" spans="2:9">
      <c r="B27" s="74">
        <v>8</v>
      </c>
      <c r="C27" s="425" t="s">
        <v>93</v>
      </c>
      <c r="D27" s="426"/>
      <c r="E27" s="426"/>
      <c r="F27" s="426"/>
      <c r="G27" s="427"/>
      <c r="H27" s="249">
        <v>6.0000000000000001E-3</v>
      </c>
      <c r="I27" s="116">
        <f t="shared" si="0"/>
        <v>0</v>
      </c>
    </row>
    <row r="28" spans="2:9">
      <c r="B28" s="442" t="s">
        <v>80</v>
      </c>
      <c r="C28" s="489"/>
      <c r="D28" s="489"/>
      <c r="E28" s="489"/>
      <c r="F28" s="489"/>
      <c r="G28" s="490"/>
      <c r="H28" s="6">
        <f>SUM(H20:H27)</f>
        <v>0.3680000000000001</v>
      </c>
      <c r="I28" s="114">
        <f>SUM(I20:I27)</f>
        <v>0</v>
      </c>
    </row>
    <row r="29" spans="2:9">
      <c r="B29" s="72"/>
      <c r="H29" s="76"/>
      <c r="I29" s="73"/>
    </row>
    <row r="30" spans="2:9">
      <c r="B30" s="112" t="s">
        <v>94</v>
      </c>
      <c r="C30" s="472" t="s">
        <v>95</v>
      </c>
      <c r="D30" s="473"/>
      <c r="E30" s="473"/>
      <c r="F30" s="473"/>
      <c r="G30" s="474"/>
      <c r="H30" s="108" t="s">
        <v>83</v>
      </c>
      <c r="I30" s="113" t="s">
        <v>77</v>
      </c>
    </row>
    <row r="31" spans="2:9">
      <c r="B31" s="74">
        <v>1</v>
      </c>
      <c r="C31" s="465" t="s">
        <v>96</v>
      </c>
      <c r="D31" s="466"/>
      <c r="E31" s="466"/>
      <c r="F31" s="466"/>
      <c r="G31" s="475"/>
      <c r="H31" s="225">
        <f>ROUND(1/12,4)</f>
        <v>8.3299999999999999E-2</v>
      </c>
      <c r="I31" s="116">
        <f>ROUND($I$17*H31,2)</f>
        <v>0</v>
      </c>
    </row>
    <row r="32" spans="2:9">
      <c r="B32" s="74">
        <v>2</v>
      </c>
      <c r="C32" s="467" t="s">
        <v>97</v>
      </c>
      <c r="D32" s="468"/>
      <c r="E32" s="468"/>
      <c r="F32" s="468"/>
      <c r="G32" s="469"/>
      <c r="H32" s="231">
        <v>3.0249999999999999E-2</v>
      </c>
      <c r="I32" s="116">
        <f>ROUND($I$17*H32,2)</f>
        <v>0</v>
      </c>
    </row>
    <row r="33" spans="2:11">
      <c r="B33" s="74">
        <v>3</v>
      </c>
      <c r="C33" s="467" t="s">
        <v>98</v>
      </c>
      <c r="D33" s="468"/>
      <c r="E33" s="468"/>
      <c r="F33" s="468"/>
      <c r="G33" s="469"/>
      <c r="H33" s="232">
        <f>ROUND((H31+H32)*H28,4)</f>
        <v>4.1799999999999997E-2</v>
      </c>
      <c r="I33" s="116">
        <f>ROUND($I$17*H33,2)</f>
        <v>0</v>
      </c>
      <c r="K33" s="7"/>
    </row>
    <row r="34" spans="2:11">
      <c r="B34" s="442" t="s">
        <v>80</v>
      </c>
      <c r="C34" s="489"/>
      <c r="D34" s="489"/>
      <c r="E34" s="489"/>
      <c r="F34" s="489"/>
      <c r="G34" s="490"/>
      <c r="H34" s="6">
        <f>SUM(H31:H33)</f>
        <v>0.15534999999999999</v>
      </c>
      <c r="I34" s="114">
        <f>SUM(I31:I33)</f>
        <v>0</v>
      </c>
    </row>
    <row r="35" spans="2:11">
      <c r="B35" s="72"/>
      <c r="H35" s="76"/>
      <c r="I35" s="73"/>
    </row>
    <row r="36" spans="2:11">
      <c r="B36" s="112" t="s">
        <v>99</v>
      </c>
      <c r="C36" s="472" t="s">
        <v>100</v>
      </c>
      <c r="D36" s="473"/>
      <c r="E36" s="473"/>
      <c r="F36" s="473"/>
      <c r="G36" s="474"/>
      <c r="H36" s="108" t="s">
        <v>83</v>
      </c>
      <c r="I36" s="113" t="s">
        <v>77</v>
      </c>
    </row>
    <row r="37" spans="2:11">
      <c r="B37" s="74">
        <v>1</v>
      </c>
      <c r="C37" s="467" t="s">
        <v>101</v>
      </c>
      <c r="D37" s="468"/>
      <c r="E37" s="468"/>
      <c r="F37" s="468"/>
      <c r="G37" s="469"/>
      <c r="H37" s="243">
        <f>(1+(1/12)+(1/12)+(1/12/3))/12*0.05</f>
        <v>4.9768518518518512E-3</v>
      </c>
      <c r="I37" s="116">
        <f>ROUND($I$17*H37,2)</f>
        <v>0</v>
      </c>
      <c r="K37" s="8"/>
    </row>
    <row r="38" spans="2:11">
      <c r="B38" s="74">
        <v>2</v>
      </c>
      <c r="C38" s="465" t="s">
        <v>102</v>
      </c>
      <c r="D38" s="466"/>
      <c r="E38" s="466"/>
      <c r="F38" s="466"/>
      <c r="G38" s="475"/>
      <c r="H38" s="243">
        <f>H37*0.08</f>
        <v>3.9814814814814812E-4</v>
      </c>
      <c r="I38" s="116">
        <f>ROUND($I$17*H38,2)</f>
        <v>0</v>
      </c>
      <c r="K38" s="8"/>
    </row>
    <row r="39" spans="2:11">
      <c r="B39" s="74">
        <v>4</v>
      </c>
      <c r="C39" s="467" t="s">
        <v>103</v>
      </c>
      <c r="D39" s="468"/>
      <c r="E39" s="468"/>
      <c r="F39" s="468"/>
      <c r="G39" s="469"/>
      <c r="H39" s="244">
        <f>(7/30/12)*0.9</f>
        <v>1.7500000000000002E-2</v>
      </c>
      <c r="I39" s="116">
        <f>ROUND($I$17*H39,2)</f>
        <v>0</v>
      </c>
      <c r="K39" s="8"/>
    </row>
    <row r="40" spans="2:11">
      <c r="B40" s="74">
        <v>5</v>
      </c>
      <c r="C40" s="467" t="s">
        <v>104</v>
      </c>
      <c r="D40" s="468"/>
      <c r="E40" s="468"/>
      <c r="F40" s="468"/>
      <c r="G40" s="469"/>
      <c r="H40" s="244">
        <f>H39*$H$28</f>
        <v>6.4400000000000021E-3</v>
      </c>
      <c r="I40" s="116">
        <f>ROUND($I$17*H40,2)</f>
        <v>0</v>
      </c>
      <c r="K40" s="8"/>
    </row>
    <row r="41" spans="2:11">
      <c r="B41" s="74">
        <v>6</v>
      </c>
      <c r="C41" s="467" t="s">
        <v>105</v>
      </c>
      <c r="D41" s="468"/>
      <c r="E41" s="468"/>
      <c r="F41" s="468"/>
      <c r="G41" s="469"/>
      <c r="H41" s="244">
        <v>0.04</v>
      </c>
      <c r="I41" s="116">
        <f>ROUND($I$17*H41,2)</f>
        <v>0</v>
      </c>
      <c r="K41" s="8"/>
    </row>
    <row r="42" spans="2:11">
      <c r="B42" s="442" t="s">
        <v>80</v>
      </c>
      <c r="C42" s="489"/>
      <c r="D42" s="489"/>
      <c r="E42" s="489"/>
      <c r="F42" s="489"/>
      <c r="G42" s="490"/>
      <c r="H42" s="6">
        <f>SUM(H37:H41)</f>
        <v>6.9315000000000002E-2</v>
      </c>
      <c r="I42" s="114">
        <f>SUM(I37:I41)</f>
        <v>0</v>
      </c>
      <c r="K42" s="8"/>
    </row>
    <row r="43" spans="2:11">
      <c r="B43" s="72"/>
      <c r="H43" s="76"/>
      <c r="I43" s="73"/>
      <c r="K43" s="8"/>
    </row>
    <row r="44" spans="2:11">
      <c r="B44" s="442" t="s">
        <v>118</v>
      </c>
      <c r="C44" s="489"/>
      <c r="D44" s="489"/>
      <c r="E44" s="489"/>
      <c r="F44" s="489"/>
      <c r="G44" s="489"/>
      <c r="H44" s="490"/>
      <c r="I44" s="114">
        <f>I17+I28+I34+I42</f>
        <v>0</v>
      </c>
      <c r="J44" s="3"/>
      <c r="K44" s="5"/>
    </row>
    <row r="45" spans="2:11">
      <c r="B45" s="81"/>
      <c r="C45" s="82"/>
      <c r="D45" s="82"/>
      <c r="E45" s="82"/>
      <c r="F45" s="82"/>
      <c r="G45" s="82"/>
      <c r="H45" s="82"/>
      <c r="I45" s="83"/>
      <c r="K45" s="8"/>
    </row>
    <row r="46" spans="2:11">
      <c r="B46" s="439" t="s">
        <v>119</v>
      </c>
      <c r="C46" s="440"/>
      <c r="D46" s="440"/>
      <c r="E46" s="440"/>
      <c r="F46" s="440"/>
      <c r="G46" s="440"/>
      <c r="H46" s="440"/>
      <c r="I46" s="441"/>
      <c r="K46" s="8"/>
    </row>
    <row r="47" spans="2:11">
      <c r="B47" s="72"/>
      <c r="H47" s="65"/>
      <c r="I47" s="73"/>
    </row>
    <row r="48" spans="2:11">
      <c r="B48" s="112" t="s">
        <v>75</v>
      </c>
      <c r="C48" s="472" t="s">
        <v>120</v>
      </c>
      <c r="D48" s="473"/>
      <c r="E48" s="473"/>
      <c r="F48" s="473"/>
      <c r="G48" s="473"/>
      <c r="H48" s="590"/>
      <c r="I48" s="113" t="s">
        <v>77</v>
      </c>
    </row>
    <row r="49" spans="2:11">
      <c r="B49" s="74">
        <v>1</v>
      </c>
      <c r="C49" s="465" t="s">
        <v>123</v>
      </c>
      <c r="D49" s="466"/>
      <c r="E49" s="466"/>
      <c r="F49" s="466"/>
      <c r="G49" s="466"/>
      <c r="H49" s="297">
        <v>0</v>
      </c>
      <c r="I49" s="241">
        <f>(I44)*H49</f>
        <v>0</v>
      </c>
      <c r="K49" s="13"/>
    </row>
    <row r="50" spans="2:11">
      <c r="B50" s="74">
        <v>2</v>
      </c>
      <c r="C50" s="465" t="s">
        <v>124</v>
      </c>
      <c r="D50" s="466"/>
      <c r="E50" s="466"/>
      <c r="F50" s="466"/>
      <c r="G50" s="466"/>
      <c r="H50" s="297">
        <v>0</v>
      </c>
      <c r="I50" s="241">
        <f>(I44+I49)*H50</f>
        <v>0</v>
      </c>
    </row>
    <row r="51" spans="2:11">
      <c r="B51" s="72"/>
      <c r="C51" s="79"/>
      <c r="D51" s="79"/>
      <c r="E51" s="79"/>
      <c r="F51" s="79"/>
      <c r="G51" s="79"/>
      <c r="H51"/>
      <c r="I51" s="121"/>
    </row>
    <row r="52" spans="2:11">
      <c r="B52" s="434" t="s">
        <v>183</v>
      </c>
      <c r="C52" s="435"/>
      <c r="D52" s="435"/>
      <c r="E52" s="435"/>
      <c r="F52" s="435"/>
      <c r="G52" s="435"/>
      <c r="H52" s="435"/>
      <c r="I52" s="114">
        <f>SUM(I49:I50)</f>
        <v>0</v>
      </c>
      <c r="K52" s="8"/>
    </row>
    <row r="53" spans="2:11">
      <c r="B53" s="81"/>
      <c r="C53" s="82"/>
      <c r="D53" s="82"/>
      <c r="E53" s="82"/>
      <c r="F53" s="82"/>
      <c r="G53" s="82"/>
      <c r="H53" s="82"/>
      <c r="I53" s="83"/>
      <c r="K53" s="8"/>
    </row>
    <row r="54" spans="2:11">
      <c r="B54" s="439" t="s">
        <v>133</v>
      </c>
      <c r="C54" s="440"/>
      <c r="D54" s="440"/>
      <c r="E54" s="440"/>
      <c r="F54" s="440"/>
      <c r="G54" s="440"/>
      <c r="H54" s="440"/>
      <c r="I54" s="441"/>
      <c r="K54" s="8"/>
    </row>
    <row r="55" spans="2:11">
      <c r="B55" s="72"/>
      <c r="H55" s="65"/>
      <c r="I55" s="73"/>
      <c r="K55" s="8"/>
    </row>
    <row r="56" spans="2:11">
      <c r="B56" s="112" t="s">
        <v>75</v>
      </c>
      <c r="C56" s="472" t="s">
        <v>134</v>
      </c>
      <c r="D56" s="473"/>
      <c r="E56" s="473"/>
      <c r="F56" s="473"/>
      <c r="G56" s="474"/>
      <c r="H56" s="108" t="s">
        <v>83</v>
      </c>
      <c r="I56" s="113" t="s">
        <v>77</v>
      </c>
      <c r="K56" s="8"/>
    </row>
    <row r="57" spans="2:11">
      <c r="B57" s="74">
        <v>1</v>
      </c>
      <c r="C57" s="425" t="s">
        <v>135</v>
      </c>
      <c r="D57" s="426"/>
      <c r="E57" s="426"/>
      <c r="F57" s="426"/>
      <c r="G57" s="427"/>
      <c r="H57" s="249">
        <v>7.5999999999999998E-2</v>
      </c>
      <c r="I57" s="116">
        <f>$I$61/$H$61*H57</f>
        <v>0</v>
      </c>
      <c r="K57" s="8"/>
    </row>
    <row r="58" spans="2:11">
      <c r="B58" s="74">
        <v>2</v>
      </c>
      <c r="C58" s="425" t="s">
        <v>136</v>
      </c>
      <c r="D58" s="426"/>
      <c r="E58" s="426"/>
      <c r="F58" s="426"/>
      <c r="G58" s="427"/>
      <c r="H58" s="249">
        <v>1.6500000000000001E-2</v>
      </c>
      <c r="I58" s="116">
        <f>$I$61/$H$61*H58</f>
        <v>0</v>
      </c>
      <c r="K58" s="8"/>
    </row>
    <row r="59" spans="2:11">
      <c r="B59" s="74">
        <v>3</v>
      </c>
      <c r="C59" s="425" t="s">
        <v>137</v>
      </c>
      <c r="D59" s="426"/>
      <c r="E59" s="426"/>
      <c r="F59" s="426"/>
      <c r="G59" s="427"/>
      <c r="H59" s="249">
        <v>0.05</v>
      </c>
      <c r="I59" s="116">
        <f>$I$61/$H$61*H59</f>
        <v>0</v>
      </c>
      <c r="K59" s="8"/>
    </row>
    <row r="60" spans="2:11">
      <c r="B60" s="193">
        <v>4</v>
      </c>
      <c r="C60" s="425" t="s">
        <v>138</v>
      </c>
      <c r="D60" s="426"/>
      <c r="E60" s="426"/>
      <c r="F60" s="426"/>
      <c r="G60" s="427"/>
      <c r="H60" s="249">
        <v>0</v>
      </c>
      <c r="I60" s="116">
        <f>$I$61/$H$61*H60</f>
        <v>0</v>
      </c>
      <c r="K60" s="8"/>
    </row>
    <row r="61" spans="2:11">
      <c r="B61" s="442" t="s">
        <v>80</v>
      </c>
      <c r="C61" s="489"/>
      <c r="D61" s="489"/>
      <c r="E61" s="489"/>
      <c r="F61" s="489"/>
      <c r="G61" s="490"/>
      <c r="H61" s="4">
        <f>SUM(H57:H60)</f>
        <v>0.14250000000000002</v>
      </c>
      <c r="I61" s="114">
        <f>ROUND(((I44+I52)*$H$61)/(1-$H$61),2)</f>
        <v>0</v>
      </c>
      <c r="K61" s="8"/>
    </row>
    <row r="62" spans="2:11">
      <c r="B62" s="72"/>
      <c r="H62" s="65"/>
      <c r="I62" s="121"/>
      <c r="K62" s="8"/>
    </row>
    <row r="63" spans="2:11">
      <c r="B63" s="442" t="s">
        <v>184</v>
      </c>
      <c r="C63" s="489"/>
      <c r="D63" s="489"/>
      <c r="E63" s="489"/>
      <c r="F63" s="489"/>
      <c r="G63" s="489"/>
      <c r="H63" s="490"/>
      <c r="I63" s="114">
        <f>I61</f>
        <v>0</v>
      </c>
      <c r="K63" s="8"/>
    </row>
    <row r="64" spans="2:11">
      <c r="B64" s="72"/>
      <c r="H64" s="65"/>
      <c r="I64" s="73"/>
      <c r="K64" s="8"/>
    </row>
    <row r="65" spans="2:13">
      <c r="B65" s="439" t="s">
        <v>36</v>
      </c>
      <c r="C65" s="440"/>
      <c r="D65" s="440"/>
      <c r="E65" s="440"/>
      <c r="F65" s="440"/>
      <c r="G65" s="440"/>
      <c r="H65" s="440"/>
      <c r="I65" s="441"/>
      <c r="K65" s="8"/>
    </row>
    <row r="66" spans="2:13">
      <c r="B66" s="72"/>
      <c r="H66" s="65"/>
      <c r="I66" s="73"/>
      <c r="K66" s="8"/>
    </row>
    <row r="67" spans="2:13">
      <c r="B67" s="442" t="s">
        <v>185</v>
      </c>
      <c r="C67" s="489"/>
      <c r="D67" s="489"/>
      <c r="E67" s="489"/>
      <c r="F67" s="489"/>
      <c r="G67" s="489"/>
      <c r="H67" s="490"/>
      <c r="I67" s="114">
        <f>I44+I52+I63</f>
        <v>0</v>
      </c>
      <c r="K67" s="8"/>
      <c r="M67" s="18"/>
    </row>
    <row r="68" spans="2:13">
      <c r="B68" s="78"/>
      <c r="C68" s="79"/>
      <c r="D68" s="79"/>
      <c r="E68" s="79"/>
      <c r="F68" s="79"/>
      <c r="G68" s="79"/>
      <c r="H68" s="80"/>
      <c r="I68" s="121"/>
      <c r="K68" s="8"/>
    </row>
    <row r="69" spans="2:13" ht="15.75" thickBot="1">
      <c r="B69" s="601" t="s">
        <v>186</v>
      </c>
      <c r="C69" s="602"/>
      <c r="D69" s="602"/>
      <c r="E69" s="602"/>
      <c r="F69" s="602"/>
      <c r="G69" s="602"/>
      <c r="H69" s="602"/>
      <c r="I69" s="247">
        <f>I67*20</f>
        <v>0</v>
      </c>
      <c r="K69" s="8"/>
    </row>
    <row r="71" spans="2:13">
      <c r="E71" s="394"/>
      <c r="F71" s="394"/>
      <c r="G71" s="394"/>
      <c r="H71" s="394"/>
      <c r="I71" s="394"/>
    </row>
    <row r="72" spans="2:13" ht="18">
      <c r="E72" s="395"/>
      <c r="F72" s="395"/>
      <c r="G72" s="396"/>
      <c r="H72" s="396"/>
      <c r="I72" s="396"/>
    </row>
    <row r="73" spans="2:13">
      <c r="B73" s="397"/>
      <c r="C73" s="397"/>
      <c r="D73" s="397"/>
      <c r="E73" s="397"/>
      <c r="F73" s="397"/>
      <c r="G73" s="397"/>
    </row>
  </sheetData>
  <sheetProtection selectLockedCells="1"/>
  <mergeCells count="53">
    <mergeCell ref="C13:H13"/>
    <mergeCell ref="B2:I2"/>
    <mergeCell ref="B5:I5"/>
    <mergeCell ref="B6:I6"/>
    <mergeCell ref="B8:H8"/>
    <mergeCell ref="B10:I10"/>
    <mergeCell ref="C12:H12"/>
    <mergeCell ref="B28:G28"/>
    <mergeCell ref="C15:H15"/>
    <mergeCell ref="C16:H16"/>
    <mergeCell ref="B17:H17"/>
    <mergeCell ref="C19:G19"/>
    <mergeCell ref="C20:G20"/>
    <mergeCell ref="C21:G21"/>
    <mergeCell ref="C22:G22"/>
    <mergeCell ref="C23:G23"/>
    <mergeCell ref="C24:G24"/>
    <mergeCell ref="C25:G25"/>
    <mergeCell ref="C27:G27"/>
    <mergeCell ref="C41:G41"/>
    <mergeCell ref="C30:G30"/>
    <mergeCell ref="C31:G31"/>
    <mergeCell ref="C32:G32"/>
    <mergeCell ref="C33:G33"/>
    <mergeCell ref="B34:G34"/>
    <mergeCell ref="C36:G36"/>
    <mergeCell ref="C37:G37"/>
    <mergeCell ref="C38:G38"/>
    <mergeCell ref="C39:G39"/>
    <mergeCell ref="C40:G40"/>
    <mergeCell ref="C59:G59"/>
    <mergeCell ref="B42:G42"/>
    <mergeCell ref="B44:H44"/>
    <mergeCell ref="B46:I46"/>
    <mergeCell ref="C48:H48"/>
    <mergeCell ref="B52:H52"/>
    <mergeCell ref="B54:I54"/>
    <mergeCell ref="C56:G56"/>
    <mergeCell ref="C57:G57"/>
    <mergeCell ref="C58:G58"/>
    <mergeCell ref="C49:G49"/>
    <mergeCell ref="C50:G50"/>
    <mergeCell ref="C60:G60"/>
    <mergeCell ref="E72:F72"/>
    <mergeCell ref="G72:I72"/>
    <mergeCell ref="B73:G73"/>
    <mergeCell ref="B61:G61"/>
    <mergeCell ref="B63:H63"/>
    <mergeCell ref="B65:I65"/>
    <mergeCell ref="B67:H67"/>
    <mergeCell ref="B69:H69"/>
    <mergeCell ref="E71:F71"/>
    <mergeCell ref="G71:I71"/>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249977111117893"/>
  </sheetPr>
  <dimension ref="B1:M73"/>
  <sheetViews>
    <sheetView zoomScaleNormal="100" workbookViewId="0">
      <selection activeCell="I15" sqref="I15"/>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s>
  <sheetData>
    <row r="1" spans="2:9" ht="15.75" thickBot="1"/>
    <row r="2" spans="2:9" ht="39" customHeight="1">
      <c r="B2" s="499" t="s">
        <v>67</v>
      </c>
      <c r="C2" s="500"/>
      <c r="D2" s="500"/>
      <c r="E2" s="500"/>
      <c r="F2" s="500"/>
      <c r="G2" s="500"/>
      <c r="H2" s="500"/>
      <c r="I2" s="501"/>
    </row>
    <row r="3" spans="2:9">
      <c r="B3" s="64"/>
      <c r="H3" s="65"/>
      <c r="I3" s="66"/>
    </row>
    <row r="4" spans="2:9">
      <c r="B4" s="67"/>
      <c r="C4" s="68"/>
      <c r="D4" s="68"/>
      <c r="E4" s="68"/>
      <c r="F4" s="68"/>
      <c r="G4" s="68"/>
      <c r="H4" s="69"/>
      <c r="I4" s="70"/>
    </row>
    <row r="5" spans="2:9">
      <c r="B5" s="434" t="s">
        <v>68</v>
      </c>
      <c r="C5" s="435"/>
      <c r="D5" s="435"/>
      <c r="E5" s="435"/>
      <c r="F5" s="435"/>
      <c r="G5" s="435"/>
      <c r="H5" s="435"/>
      <c r="I5" s="436"/>
    </row>
    <row r="6" spans="2:9">
      <c r="B6" s="455" t="s">
        <v>72</v>
      </c>
      <c r="C6" s="437"/>
      <c r="D6" s="437"/>
      <c r="E6" s="437"/>
      <c r="F6" s="437"/>
      <c r="G6" s="437"/>
      <c r="H6" s="437"/>
      <c r="I6" s="456"/>
    </row>
    <row r="7" spans="2:9">
      <c r="B7" s="67"/>
      <c r="C7" s="68"/>
      <c r="D7" s="68"/>
      <c r="E7" s="68"/>
      <c r="F7" s="68"/>
      <c r="G7" s="68"/>
      <c r="H7" s="69"/>
      <c r="I7" s="70"/>
    </row>
    <row r="8" spans="2:9">
      <c r="B8" s="442" t="s">
        <v>178</v>
      </c>
      <c r="C8" s="489"/>
      <c r="D8" s="489"/>
      <c r="E8" s="489"/>
      <c r="F8" s="489"/>
      <c r="G8" s="489"/>
      <c r="H8" s="490"/>
      <c r="I8" s="71">
        <f>'5 - Motorista de Ônibus'!I11</f>
        <v>0</v>
      </c>
    </row>
    <row r="9" spans="2:9">
      <c r="B9" s="72"/>
      <c r="H9" s="65"/>
      <c r="I9" s="73"/>
    </row>
    <row r="10" spans="2:9">
      <c r="B10" s="439" t="s">
        <v>74</v>
      </c>
      <c r="C10" s="440"/>
      <c r="D10" s="440"/>
      <c r="E10" s="440"/>
      <c r="F10" s="440"/>
      <c r="G10" s="440"/>
      <c r="H10" s="440"/>
      <c r="I10" s="441"/>
    </row>
    <row r="11" spans="2:9">
      <c r="B11" s="72"/>
      <c r="H11" s="65"/>
      <c r="I11" s="73"/>
    </row>
    <row r="12" spans="2:9">
      <c r="B12" s="112" t="s">
        <v>75</v>
      </c>
      <c r="C12" s="472" t="s">
        <v>76</v>
      </c>
      <c r="D12" s="473"/>
      <c r="E12" s="473"/>
      <c r="F12" s="473"/>
      <c r="G12" s="473"/>
      <c r="H12" s="474"/>
      <c r="I12" s="113" t="s">
        <v>77</v>
      </c>
    </row>
    <row r="13" spans="2:9">
      <c r="B13" s="74">
        <v>1</v>
      </c>
      <c r="C13" s="584" t="s">
        <v>187</v>
      </c>
      <c r="D13" s="585"/>
      <c r="E13" s="585"/>
      <c r="F13" s="585"/>
      <c r="G13" s="585"/>
      <c r="H13" s="586"/>
      <c r="I13" s="116">
        <f>ROUND(I8/220,2)</f>
        <v>0</v>
      </c>
    </row>
    <row r="14" spans="2:9">
      <c r="B14" s="136">
        <v>2</v>
      </c>
      <c r="C14" s="584" t="s">
        <v>188</v>
      </c>
      <c r="D14" s="585"/>
      <c r="E14" s="585"/>
      <c r="F14" s="585"/>
      <c r="G14" s="585"/>
      <c r="H14" s="586"/>
      <c r="I14" s="116">
        <f>I13*0.5</f>
        <v>0</v>
      </c>
    </row>
    <row r="15" spans="2:9">
      <c r="B15" s="74">
        <v>3</v>
      </c>
      <c r="C15" s="584" t="s">
        <v>189</v>
      </c>
      <c r="D15" s="585"/>
      <c r="E15" s="585"/>
      <c r="F15" s="585"/>
      <c r="G15" s="585"/>
      <c r="H15" s="586"/>
      <c r="I15" s="116">
        <f>((I13+I14)*(5/25))</f>
        <v>0</v>
      </c>
    </row>
    <row r="16" spans="2:9">
      <c r="B16" s="482" t="s">
        <v>80</v>
      </c>
      <c r="C16" s="483"/>
      <c r="D16" s="483"/>
      <c r="E16" s="483"/>
      <c r="F16" s="483"/>
      <c r="G16" s="483"/>
      <c r="H16" s="484"/>
      <c r="I16" s="183">
        <f>SUM(I13:I15)</f>
        <v>0</v>
      </c>
    </row>
    <row r="17" spans="2:11">
      <c r="B17" s="72"/>
      <c r="H17" s="76"/>
      <c r="I17" s="73"/>
    </row>
    <row r="18" spans="2:11">
      <c r="B18" s="112" t="s">
        <v>81</v>
      </c>
      <c r="C18" s="472" t="s">
        <v>82</v>
      </c>
      <c r="D18" s="473"/>
      <c r="E18" s="473"/>
      <c r="F18" s="473"/>
      <c r="G18" s="474"/>
      <c r="H18" s="108" t="s">
        <v>83</v>
      </c>
      <c r="I18" s="113" t="s">
        <v>77</v>
      </c>
    </row>
    <row r="19" spans="2:11">
      <c r="B19" s="74">
        <v>1</v>
      </c>
      <c r="C19" s="425" t="s">
        <v>84</v>
      </c>
      <c r="D19" s="426"/>
      <c r="E19" s="426"/>
      <c r="F19" s="426"/>
      <c r="G19" s="427"/>
      <c r="H19" s="249">
        <v>0.2</v>
      </c>
      <c r="I19" s="116">
        <f>ROUND($I$16*H19,2)</f>
        <v>0</v>
      </c>
    </row>
    <row r="20" spans="2:11">
      <c r="B20" s="74">
        <v>2</v>
      </c>
      <c r="C20" s="425" t="s">
        <v>85</v>
      </c>
      <c r="D20" s="426"/>
      <c r="E20" s="426"/>
      <c r="F20" s="426"/>
      <c r="G20" s="427"/>
      <c r="H20" s="249">
        <v>1.4999999999999999E-2</v>
      </c>
      <c r="I20" s="116">
        <f t="shared" ref="I20:I26" si="0">ROUND($I$16*H20,2)</f>
        <v>0</v>
      </c>
    </row>
    <row r="21" spans="2:11">
      <c r="B21" s="74">
        <v>3</v>
      </c>
      <c r="C21" s="425" t="s">
        <v>86</v>
      </c>
      <c r="D21" s="426"/>
      <c r="E21" s="426"/>
      <c r="F21" s="426"/>
      <c r="G21" s="427"/>
      <c r="H21" s="249">
        <v>0.01</v>
      </c>
      <c r="I21" s="116">
        <f t="shared" si="0"/>
        <v>0</v>
      </c>
    </row>
    <row r="22" spans="2:11">
      <c r="B22" s="74">
        <v>4</v>
      </c>
      <c r="C22" s="425" t="s">
        <v>87</v>
      </c>
      <c r="D22" s="426"/>
      <c r="E22" s="426"/>
      <c r="F22" s="426"/>
      <c r="G22" s="427"/>
      <c r="H22" s="249">
        <v>2E-3</v>
      </c>
      <c r="I22" s="116">
        <f t="shared" si="0"/>
        <v>0</v>
      </c>
    </row>
    <row r="23" spans="2:11">
      <c r="B23" s="74">
        <v>5</v>
      </c>
      <c r="C23" s="425" t="s">
        <v>88</v>
      </c>
      <c r="D23" s="426"/>
      <c r="E23" s="426"/>
      <c r="F23" s="426"/>
      <c r="G23" s="427"/>
      <c r="H23" s="249">
        <v>2.5000000000000001E-2</v>
      </c>
      <c r="I23" s="116">
        <f t="shared" si="0"/>
        <v>0</v>
      </c>
    </row>
    <row r="24" spans="2:11">
      <c r="B24" s="74">
        <v>6</v>
      </c>
      <c r="C24" s="425" t="s">
        <v>89</v>
      </c>
      <c r="D24" s="426"/>
      <c r="E24" s="426"/>
      <c r="F24" s="426"/>
      <c r="G24" s="427"/>
      <c r="H24" s="249">
        <v>0.08</v>
      </c>
      <c r="I24" s="116">
        <f t="shared" si="0"/>
        <v>0</v>
      </c>
    </row>
    <row r="25" spans="2:11">
      <c r="B25" s="74">
        <v>7</v>
      </c>
      <c r="C25" s="1" t="s">
        <v>90</v>
      </c>
      <c r="D25" s="305" t="s">
        <v>91</v>
      </c>
      <c r="E25" s="306">
        <v>0.03</v>
      </c>
      <c r="F25" s="305" t="s">
        <v>92</v>
      </c>
      <c r="G25" s="307">
        <v>1</v>
      </c>
      <c r="H25" s="249">
        <f>E25*G25</f>
        <v>0.03</v>
      </c>
      <c r="I25" s="116">
        <f t="shared" si="0"/>
        <v>0</v>
      </c>
    </row>
    <row r="26" spans="2:11">
      <c r="B26" s="74">
        <v>8</v>
      </c>
      <c r="C26" s="425" t="s">
        <v>93</v>
      </c>
      <c r="D26" s="426"/>
      <c r="E26" s="426"/>
      <c r="F26" s="426"/>
      <c r="G26" s="427"/>
      <c r="H26" s="249">
        <v>6.0000000000000001E-3</v>
      </c>
      <c r="I26" s="116">
        <f t="shared" si="0"/>
        <v>0</v>
      </c>
    </row>
    <row r="27" spans="2:11">
      <c r="B27" s="442" t="s">
        <v>80</v>
      </c>
      <c r="C27" s="489"/>
      <c r="D27" s="489"/>
      <c r="E27" s="489"/>
      <c r="F27" s="489"/>
      <c r="G27" s="490"/>
      <c r="H27" s="6">
        <f>SUM(H19:H26)</f>
        <v>0.3680000000000001</v>
      </c>
      <c r="I27" s="114">
        <f>SUM(I19:I26)</f>
        <v>0</v>
      </c>
    </row>
    <row r="28" spans="2:11">
      <c r="B28" s="72"/>
      <c r="H28" s="76"/>
      <c r="I28" s="73"/>
    </row>
    <row r="29" spans="2:11">
      <c r="B29" s="112" t="s">
        <v>94</v>
      </c>
      <c r="C29" s="472" t="s">
        <v>95</v>
      </c>
      <c r="D29" s="473"/>
      <c r="E29" s="473"/>
      <c r="F29" s="473"/>
      <c r="G29" s="474"/>
      <c r="H29" s="108" t="s">
        <v>83</v>
      </c>
      <c r="I29" s="113" t="s">
        <v>77</v>
      </c>
    </row>
    <row r="30" spans="2:11">
      <c r="B30" s="74">
        <v>1</v>
      </c>
      <c r="C30" s="465" t="s">
        <v>96</v>
      </c>
      <c r="D30" s="466"/>
      <c r="E30" s="466"/>
      <c r="F30" s="466"/>
      <c r="G30" s="475"/>
      <c r="H30" s="225">
        <f>ROUND(1/12,4)</f>
        <v>8.3299999999999999E-2</v>
      </c>
      <c r="I30" s="116">
        <f>ROUND($I$16*H30,2)</f>
        <v>0</v>
      </c>
    </row>
    <row r="31" spans="2:11">
      <c r="B31" s="74">
        <v>2</v>
      </c>
      <c r="C31" s="467" t="s">
        <v>97</v>
      </c>
      <c r="D31" s="468"/>
      <c r="E31" s="468"/>
      <c r="F31" s="468"/>
      <c r="G31" s="469"/>
      <c r="H31" s="231">
        <v>3.0249999999999999E-2</v>
      </c>
      <c r="I31" s="116">
        <f>ROUND($I$16*H31,2)</f>
        <v>0</v>
      </c>
    </row>
    <row r="32" spans="2:11">
      <c r="B32" s="74">
        <v>3</v>
      </c>
      <c r="C32" s="467" t="s">
        <v>98</v>
      </c>
      <c r="D32" s="468"/>
      <c r="E32" s="468"/>
      <c r="F32" s="468"/>
      <c r="G32" s="469"/>
      <c r="H32" s="232">
        <f>ROUND((H30+H31)*H27,4)</f>
        <v>4.1799999999999997E-2</v>
      </c>
      <c r="I32" s="116">
        <f>ROUND($I$16*H32,2)</f>
        <v>0</v>
      </c>
      <c r="K32" s="7"/>
    </row>
    <row r="33" spans="2:11">
      <c r="B33" s="442" t="s">
        <v>80</v>
      </c>
      <c r="C33" s="489"/>
      <c r="D33" s="489"/>
      <c r="E33" s="489"/>
      <c r="F33" s="489"/>
      <c r="G33" s="490"/>
      <c r="H33" s="6">
        <f>SUM(H30:H32)</f>
        <v>0.15534999999999999</v>
      </c>
      <c r="I33" s="114">
        <f>SUM(I30:I32)</f>
        <v>0</v>
      </c>
    </row>
    <row r="34" spans="2:11">
      <c r="B34" s="72"/>
      <c r="H34" s="76"/>
      <c r="I34" s="73"/>
    </row>
    <row r="35" spans="2:11">
      <c r="B35" s="112" t="s">
        <v>99</v>
      </c>
      <c r="C35" s="472" t="s">
        <v>100</v>
      </c>
      <c r="D35" s="473"/>
      <c r="E35" s="473"/>
      <c r="F35" s="473"/>
      <c r="G35" s="474"/>
      <c r="H35" s="108" t="s">
        <v>83</v>
      </c>
      <c r="I35" s="113" t="s">
        <v>77</v>
      </c>
    </row>
    <row r="36" spans="2:11">
      <c r="B36" s="74">
        <v>1</v>
      </c>
      <c r="C36" s="467" t="s">
        <v>101</v>
      </c>
      <c r="D36" s="468"/>
      <c r="E36" s="468"/>
      <c r="F36" s="468"/>
      <c r="G36" s="469"/>
      <c r="H36" s="243">
        <f>(1+(1/12)+(1/12)+(1/12/3))/12*0.05</f>
        <v>4.9768518518518512E-3</v>
      </c>
      <c r="I36" s="116">
        <f>ROUND($I$16*H36,2)</f>
        <v>0</v>
      </c>
      <c r="K36" s="8"/>
    </row>
    <row r="37" spans="2:11">
      <c r="B37" s="74">
        <v>2</v>
      </c>
      <c r="C37" s="465" t="s">
        <v>102</v>
      </c>
      <c r="D37" s="466"/>
      <c r="E37" s="466"/>
      <c r="F37" s="466"/>
      <c r="G37" s="475"/>
      <c r="H37" s="243">
        <f>H36*0.08</f>
        <v>3.9814814814814812E-4</v>
      </c>
      <c r="I37" s="116">
        <f>ROUND($I$16*H37,2)</f>
        <v>0</v>
      </c>
      <c r="K37" s="8"/>
    </row>
    <row r="38" spans="2:11">
      <c r="B38" s="74">
        <v>4</v>
      </c>
      <c r="C38" s="467" t="s">
        <v>103</v>
      </c>
      <c r="D38" s="468"/>
      <c r="E38" s="468"/>
      <c r="F38" s="468"/>
      <c r="G38" s="469"/>
      <c r="H38" s="244">
        <f>(7/30/12)*0.9</f>
        <v>1.7500000000000002E-2</v>
      </c>
      <c r="I38" s="116">
        <f>ROUND($I$13*H38,2)</f>
        <v>0</v>
      </c>
      <c r="K38" s="8"/>
    </row>
    <row r="39" spans="2:11">
      <c r="B39" s="74">
        <v>5</v>
      </c>
      <c r="C39" s="467" t="s">
        <v>104</v>
      </c>
      <c r="D39" s="468"/>
      <c r="E39" s="468"/>
      <c r="F39" s="468"/>
      <c r="G39" s="469"/>
      <c r="H39" s="244">
        <f>H38*$H$27</f>
        <v>6.4400000000000021E-3</v>
      </c>
      <c r="I39" s="116">
        <f>ROUND($I$16*H39,2)</f>
        <v>0</v>
      </c>
      <c r="K39" s="8"/>
    </row>
    <row r="40" spans="2:11">
      <c r="B40" s="74">
        <v>6</v>
      </c>
      <c r="C40" s="467" t="s">
        <v>105</v>
      </c>
      <c r="D40" s="468"/>
      <c r="E40" s="468"/>
      <c r="F40" s="468"/>
      <c r="G40" s="469"/>
      <c r="H40" s="244">
        <v>0.04</v>
      </c>
      <c r="I40" s="116">
        <f>ROUND($I$16*H40,2)</f>
        <v>0</v>
      </c>
      <c r="K40" s="8"/>
    </row>
    <row r="41" spans="2:11">
      <c r="B41" s="457" t="s">
        <v>80</v>
      </c>
      <c r="C41" s="473"/>
      <c r="D41" s="473"/>
      <c r="E41" s="473"/>
      <c r="F41" s="473"/>
      <c r="G41" s="474"/>
      <c r="H41" s="143">
        <f>SUM(H36:H40)</f>
        <v>6.9315000000000002E-2</v>
      </c>
      <c r="I41" s="144">
        <f>SUM(I36:I40)</f>
        <v>0</v>
      </c>
      <c r="K41" s="8"/>
    </row>
    <row r="42" spans="2:11">
      <c r="B42" s="72"/>
      <c r="H42" s="76"/>
      <c r="I42" s="121"/>
      <c r="K42" s="8"/>
    </row>
    <row r="43" spans="2:11">
      <c r="B43" s="442" t="s">
        <v>190</v>
      </c>
      <c r="C43" s="489"/>
      <c r="D43" s="489"/>
      <c r="E43" s="489"/>
      <c r="F43" s="489"/>
      <c r="G43" s="489"/>
      <c r="H43" s="490"/>
      <c r="I43" s="114">
        <f>I16+I27+I33+I41</f>
        <v>0</v>
      </c>
      <c r="J43" s="3"/>
      <c r="K43" s="8"/>
    </row>
    <row r="44" spans="2:11">
      <c r="B44" s="81"/>
      <c r="C44" s="82"/>
      <c r="D44" s="82"/>
      <c r="E44" s="82"/>
      <c r="F44" s="82"/>
      <c r="G44" s="82"/>
      <c r="H44" s="82"/>
      <c r="I44" s="83"/>
      <c r="K44" s="8"/>
    </row>
    <row r="45" spans="2:11">
      <c r="B45" s="439" t="s">
        <v>119</v>
      </c>
      <c r="C45" s="440"/>
      <c r="D45" s="440"/>
      <c r="E45" s="440"/>
      <c r="F45" s="440"/>
      <c r="G45" s="440"/>
      <c r="H45" s="440"/>
      <c r="I45" s="441"/>
      <c r="K45" s="8"/>
    </row>
    <row r="46" spans="2:11">
      <c r="B46" s="72"/>
      <c r="H46" s="65"/>
      <c r="I46" s="73"/>
    </row>
    <row r="47" spans="2:11">
      <c r="B47" s="112" t="s">
        <v>75</v>
      </c>
      <c r="C47" s="472" t="s">
        <v>120</v>
      </c>
      <c r="D47" s="473"/>
      <c r="E47" s="473"/>
      <c r="F47" s="473"/>
      <c r="G47" s="473"/>
      <c r="H47" s="590"/>
      <c r="I47" s="113" t="s">
        <v>77</v>
      </c>
    </row>
    <row r="48" spans="2:11">
      <c r="B48" s="74">
        <v>1</v>
      </c>
      <c r="C48" s="465" t="s">
        <v>123</v>
      </c>
      <c r="D48" s="466"/>
      <c r="E48" s="466"/>
      <c r="F48" s="466"/>
      <c r="G48" s="466"/>
      <c r="H48" s="297">
        <v>0</v>
      </c>
      <c r="I48" s="241">
        <f>(I43)*H48</f>
        <v>0</v>
      </c>
      <c r="J48" s="14"/>
      <c r="K48" s="8"/>
    </row>
    <row r="49" spans="2:11">
      <c r="B49" s="74">
        <v>2</v>
      </c>
      <c r="C49" s="465" t="s">
        <v>124</v>
      </c>
      <c r="D49" s="466"/>
      <c r="E49" s="466"/>
      <c r="F49" s="466"/>
      <c r="G49" s="466"/>
      <c r="H49" s="297">
        <v>0</v>
      </c>
      <c r="I49" s="241">
        <f>(I43+I48)*H49</f>
        <v>0</v>
      </c>
      <c r="J49" s="14"/>
      <c r="K49" s="8"/>
    </row>
    <row r="50" spans="2:11">
      <c r="B50" s="72"/>
      <c r="C50" s="79"/>
      <c r="D50" s="79"/>
      <c r="E50" s="79"/>
      <c r="F50" s="79"/>
      <c r="G50" s="79"/>
      <c r="H50"/>
      <c r="I50" s="121"/>
      <c r="K50" s="8"/>
    </row>
    <row r="51" spans="2:11">
      <c r="B51" s="443" t="s">
        <v>191</v>
      </c>
      <c r="C51" s="424"/>
      <c r="D51" s="424"/>
      <c r="E51" s="424"/>
      <c r="F51" s="424"/>
      <c r="G51" s="424"/>
      <c r="H51" s="424"/>
      <c r="I51" s="126">
        <f>SUM(I48:I49)</f>
        <v>0</v>
      </c>
      <c r="K51" s="8"/>
    </row>
    <row r="52" spans="2:11">
      <c r="B52" s="81"/>
      <c r="C52" s="82"/>
      <c r="D52" s="82"/>
      <c r="E52" s="82"/>
      <c r="F52" s="82"/>
      <c r="G52" s="82"/>
      <c r="H52" s="82"/>
      <c r="I52" s="83"/>
      <c r="K52" s="8"/>
    </row>
    <row r="53" spans="2:11">
      <c r="B53" s="439" t="s">
        <v>133</v>
      </c>
      <c r="C53" s="440"/>
      <c r="D53" s="440"/>
      <c r="E53" s="440"/>
      <c r="F53" s="440"/>
      <c r="G53" s="440"/>
      <c r="H53" s="440"/>
      <c r="I53" s="441"/>
      <c r="K53" s="8"/>
    </row>
    <row r="54" spans="2:11">
      <c r="B54" s="72"/>
      <c r="H54" s="65"/>
      <c r="I54" s="73"/>
      <c r="K54" s="8"/>
    </row>
    <row r="55" spans="2:11">
      <c r="B55" s="112" t="s">
        <v>75</v>
      </c>
      <c r="C55" s="472" t="s">
        <v>134</v>
      </c>
      <c r="D55" s="473"/>
      <c r="E55" s="473"/>
      <c r="F55" s="473"/>
      <c r="G55" s="474"/>
      <c r="H55" s="108" t="s">
        <v>83</v>
      </c>
      <c r="I55" s="113" t="s">
        <v>77</v>
      </c>
      <c r="K55" s="8"/>
    </row>
    <row r="56" spans="2:11">
      <c r="B56" s="74">
        <v>1</v>
      </c>
      <c r="C56" s="425" t="s">
        <v>135</v>
      </c>
      <c r="D56" s="426"/>
      <c r="E56" s="426"/>
      <c r="F56" s="426"/>
      <c r="G56" s="427"/>
      <c r="H56" s="249">
        <v>7.5999999999999998E-2</v>
      </c>
      <c r="I56" s="116">
        <f>$I$60/$H$60*H56</f>
        <v>0</v>
      </c>
      <c r="K56" s="8"/>
    </row>
    <row r="57" spans="2:11">
      <c r="B57" s="74">
        <v>2</v>
      </c>
      <c r="C57" s="425" t="s">
        <v>136</v>
      </c>
      <c r="D57" s="426"/>
      <c r="E57" s="426"/>
      <c r="F57" s="426"/>
      <c r="G57" s="427"/>
      <c r="H57" s="249">
        <v>1.6500000000000001E-2</v>
      </c>
      <c r="I57" s="116">
        <f>$I$60/$H$60*H57</f>
        <v>0</v>
      </c>
      <c r="K57" s="8"/>
    </row>
    <row r="58" spans="2:11">
      <c r="B58" s="74">
        <v>3</v>
      </c>
      <c r="C58" s="425" t="s">
        <v>137</v>
      </c>
      <c r="D58" s="426"/>
      <c r="E58" s="426"/>
      <c r="F58" s="426"/>
      <c r="G58" s="427"/>
      <c r="H58" s="249">
        <v>0.05</v>
      </c>
      <c r="I58" s="116">
        <f>$I$60/$H$60*H58</f>
        <v>0</v>
      </c>
      <c r="K58" s="8"/>
    </row>
    <row r="59" spans="2:11">
      <c r="B59" s="193">
        <v>4</v>
      </c>
      <c r="C59" s="425" t="s">
        <v>138</v>
      </c>
      <c r="D59" s="426"/>
      <c r="E59" s="426"/>
      <c r="F59" s="426"/>
      <c r="G59" s="427"/>
      <c r="H59" s="249">
        <v>0</v>
      </c>
      <c r="I59" s="116">
        <f>$I$60/$H$60*H59</f>
        <v>0</v>
      </c>
      <c r="K59" s="8"/>
    </row>
    <row r="60" spans="2:11">
      <c r="B60" s="438" t="s">
        <v>80</v>
      </c>
      <c r="C60" s="470"/>
      <c r="D60" s="470"/>
      <c r="E60" s="470"/>
      <c r="F60" s="470"/>
      <c r="G60" s="471"/>
      <c r="H60" s="128">
        <f>SUM(H56:H59)</f>
        <v>0.14250000000000002</v>
      </c>
      <c r="I60" s="126">
        <f>ROUND(((I43+I51)*$H$60)/(1-$H$60),2)</f>
        <v>0</v>
      </c>
      <c r="K60" s="8"/>
    </row>
    <row r="61" spans="2:11">
      <c r="B61" s="72"/>
      <c r="H61" s="65"/>
      <c r="I61" s="73"/>
      <c r="K61" s="8"/>
    </row>
    <row r="62" spans="2:11">
      <c r="B62" s="438" t="s">
        <v>192</v>
      </c>
      <c r="C62" s="470"/>
      <c r="D62" s="470"/>
      <c r="E62" s="470"/>
      <c r="F62" s="470"/>
      <c r="G62" s="470"/>
      <c r="H62" s="471"/>
      <c r="I62" s="126">
        <f>I60</f>
        <v>0</v>
      </c>
      <c r="K62" s="8"/>
    </row>
    <row r="63" spans="2:11">
      <c r="B63" s="72"/>
      <c r="H63" s="65"/>
      <c r="I63" s="73"/>
      <c r="K63" s="8"/>
    </row>
    <row r="64" spans="2:11">
      <c r="B64" s="439" t="s">
        <v>36</v>
      </c>
      <c r="C64" s="440"/>
      <c r="D64" s="440"/>
      <c r="E64" s="440"/>
      <c r="F64" s="440"/>
      <c r="G64" s="440"/>
      <c r="H64" s="440"/>
      <c r="I64" s="441"/>
      <c r="K64" s="8"/>
    </row>
    <row r="65" spans="2:13">
      <c r="B65" s="72"/>
      <c r="H65" s="65"/>
      <c r="I65" s="73"/>
      <c r="K65" s="8"/>
    </row>
    <row r="66" spans="2:13">
      <c r="B66" s="438" t="s">
        <v>193</v>
      </c>
      <c r="C66" s="470"/>
      <c r="D66" s="470"/>
      <c r="E66" s="470"/>
      <c r="F66" s="470"/>
      <c r="G66" s="470"/>
      <c r="H66" s="471"/>
      <c r="I66" s="126">
        <f>I43+I51+I62</f>
        <v>0</v>
      </c>
      <c r="K66" s="8"/>
      <c r="M66" s="12"/>
    </row>
    <row r="67" spans="2:13">
      <c r="B67" s="78"/>
      <c r="C67" s="79"/>
      <c r="D67" s="79"/>
      <c r="E67" s="79"/>
      <c r="F67" s="79"/>
      <c r="G67" s="79"/>
      <c r="H67" s="80"/>
      <c r="I67" s="121"/>
      <c r="K67" s="8"/>
    </row>
    <row r="68" spans="2:13">
      <c r="B68" s="603" t="s">
        <v>186</v>
      </c>
      <c r="C68" s="604"/>
      <c r="D68" s="604"/>
      <c r="E68" s="604"/>
      <c r="F68" s="604"/>
      <c r="G68" s="604"/>
      <c r="H68" s="604"/>
      <c r="I68" s="126">
        <f>I66*20</f>
        <v>0</v>
      </c>
      <c r="K68" s="8"/>
    </row>
    <row r="69" spans="2:13">
      <c r="B69" s="72"/>
      <c r="H69" s="65"/>
      <c r="I69" s="121"/>
    </row>
    <row r="70" spans="2:13" ht="15.75" thickBot="1">
      <c r="B70" s="444" t="s">
        <v>198</v>
      </c>
      <c r="C70" s="445"/>
      <c r="D70" s="445"/>
      <c r="E70" s="445"/>
      <c r="F70" s="445"/>
      <c r="G70" s="445"/>
      <c r="H70" s="445"/>
      <c r="I70" s="245">
        <f>I68*1</f>
        <v>0</v>
      </c>
    </row>
    <row r="71" spans="2:13">
      <c r="E71" s="394"/>
      <c r="F71" s="394"/>
      <c r="G71" s="394"/>
      <c r="H71" s="394"/>
      <c r="I71" s="394"/>
    </row>
    <row r="72" spans="2:13" ht="18">
      <c r="E72" s="395"/>
      <c r="F72" s="395"/>
      <c r="G72" s="396"/>
      <c r="H72" s="396"/>
      <c r="I72" s="396"/>
    </row>
    <row r="73" spans="2:13">
      <c r="B73" s="397"/>
      <c r="C73" s="397"/>
      <c r="D73" s="397"/>
      <c r="E73" s="397"/>
      <c r="F73" s="397"/>
      <c r="G73" s="397"/>
    </row>
  </sheetData>
  <sheetProtection selectLockedCells="1"/>
  <mergeCells count="54">
    <mergeCell ref="B2:I2"/>
    <mergeCell ref="B5:I5"/>
    <mergeCell ref="C20:G20"/>
    <mergeCell ref="B6:I6"/>
    <mergeCell ref="B8:H8"/>
    <mergeCell ref="B10:I10"/>
    <mergeCell ref="C12:H12"/>
    <mergeCell ref="C13:H13"/>
    <mergeCell ref="C14:H14"/>
    <mergeCell ref="C15:H15"/>
    <mergeCell ref="B16:H16"/>
    <mergeCell ref="C18:G18"/>
    <mergeCell ref="C19:G19"/>
    <mergeCell ref="C49:G49"/>
    <mergeCell ref="C35:G35"/>
    <mergeCell ref="C21:G21"/>
    <mergeCell ref="C22:G22"/>
    <mergeCell ref="C23:G23"/>
    <mergeCell ref="C24:G24"/>
    <mergeCell ref="C26:G26"/>
    <mergeCell ref="B27:G27"/>
    <mergeCell ref="C29:G29"/>
    <mergeCell ref="C30:G30"/>
    <mergeCell ref="C31:G31"/>
    <mergeCell ref="C32:G32"/>
    <mergeCell ref="B33:G33"/>
    <mergeCell ref="B41:G41"/>
    <mergeCell ref="B43:H43"/>
    <mergeCell ref="B45:I45"/>
    <mergeCell ref="C47:H47"/>
    <mergeCell ref="C48:G48"/>
    <mergeCell ref="C36:G36"/>
    <mergeCell ref="C37:G37"/>
    <mergeCell ref="C38:G38"/>
    <mergeCell ref="C39:G39"/>
    <mergeCell ref="C40:G40"/>
    <mergeCell ref="B70:H70"/>
    <mergeCell ref="B51:H51"/>
    <mergeCell ref="B53:I53"/>
    <mergeCell ref="C55:G55"/>
    <mergeCell ref="C56:G56"/>
    <mergeCell ref="C57:G57"/>
    <mergeCell ref="C58:G58"/>
    <mergeCell ref="B60:G60"/>
    <mergeCell ref="B62:H62"/>
    <mergeCell ref="B64:I64"/>
    <mergeCell ref="B66:H66"/>
    <mergeCell ref="B68:H68"/>
    <mergeCell ref="C59:G59"/>
    <mergeCell ref="E71:F71"/>
    <mergeCell ref="G71:I71"/>
    <mergeCell ref="E72:F72"/>
    <mergeCell ref="G72:I72"/>
    <mergeCell ref="B73:G73"/>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M73"/>
  <sheetViews>
    <sheetView zoomScaleNormal="100" workbookViewId="0">
      <selection activeCell="B9" sqref="B9:H9"/>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s>
  <sheetData>
    <row r="1" spans="2:9" ht="15.75" thickBot="1"/>
    <row r="2" spans="2:9">
      <c r="B2" s="491" t="s">
        <v>67</v>
      </c>
      <c r="C2" s="492"/>
      <c r="D2" s="492"/>
      <c r="E2" s="492"/>
      <c r="F2" s="492"/>
      <c r="G2" s="492"/>
      <c r="H2" s="492"/>
      <c r="I2" s="493"/>
    </row>
    <row r="3" spans="2:9">
      <c r="B3" s="64"/>
      <c r="H3" s="65"/>
      <c r="I3" s="66"/>
    </row>
    <row r="4" spans="2:9">
      <c r="B4" s="67"/>
      <c r="C4" s="68"/>
      <c r="D4" s="68"/>
      <c r="E4" s="68"/>
      <c r="F4" s="68"/>
      <c r="G4" s="68"/>
      <c r="H4" s="69"/>
      <c r="I4" s="70"/>
    </row>
    <row r="5" spans="2:9">
      <c r="B5" s="434" t="s">
        <v>173</v>
      </c>
      <c r="C5" s="435"/>
      <c r="D5" s="435"/>
      <c r="E5" s="435"/>
      <c r="F5" s="435"/>
      <c r="G5" s="435"/>
      <c r="H5" s="435"/>
      <c r="I5" s="436"/>
    </row>
    <row r="6" spans="2:9">
      <c r="B6" s="455" t="s">
        <v>72</v>
      </c>
      <c r="C6" s="437"/>
      <c r="D6" s="437"/>
      <c r="E6" s="437"/>
      <c r="F6" s="437"/>
      <c r="G6" s="437"/>
      <c r="H6" s="437"/>
      <c r="I6" s="456"/>
    </row>
    <row r="7" spans="2:9">
      <c r="B7" s="67"/>
      <c r="C7" s="68"/>
      <c r="D7" s="68"/>
      <c r="E7" s="68"/>
      <c r="F7" s="68"/>
      <c r="G7" s="68"/>
      <c r="H7" s="69"/>
      <c r="I7" s="70"/>
    </row>
    <row r="8" spans="2:9">
      <c r="B8" s="442" t="s">
        <v>178</v>
      </c>
      <c r="C8" s="489"/>
      <c r="D8" s="489"/>
      <c r="E8" s="489"/>
      <c r="F8" s="489"/>
      <c r="G8" s="489"/>
      <c r="H8" s="490"/>
      <c r="I8" s="71">
        <f>'6 - Supervisor'!I11</f>
        <v>0</v>
      </c>
    </row>
    <row r="9" spans="2:9">
      <c r="B9" s="434" t="s">
        <v>199</v>
      </c>
      <c r="C9" s="435"/>
      <c r="D9" s="435"/>
      <c r="E9" s="435"/>
      <c r="F9" s="435"/>
      <c r="G9" s="435"/>
      <c r="H9" s="435"/>
      <c r="I9" s="141">
        <f>I8*20%</f>
        <v>0</v>
      </c>
    </row>
    <row r="10" spans="2:9">
      <c r="B10" s="72"/>
      <c r="H10" s="65"/>
      <c r="I10" s="73"/>
    </row>
    <row r="11" spans="2:9">
      <c r="B11" s="439" t="s">
        <v>74</v>
      </c>
      <c r="C11" s="440"/>
      <c r="D11" s="440"/>
      <c r="E11" s="440"/>
      <c r="F11" s="440"/>
      <c r="G11" s="440"/>
      <c r="H11" s="440"/>
      <c r="I11" s="441"/>
    </row>
    <row r="12" spans="2:9">
      <c r="B12" s="72"/>
      <c r="H12" s="65"/>
      <c r="I12" s="73"/>
    </row>
    <row r="13" spans="2:9">
      <c r="B13" s="112" t="s">
        <v>75</v>
      </c>
      <c r="C13" s="472" t="s">
        <v>76</v>
      </c>
      <c r="D13" s="473"/>
      <c r="E13" s="473"/>
      <c r="F13" s="473"/>
      <c r="G13" s="473"/>
      <c r="H13" s="474"/>
      <c r="I13" s="113" t="s">
        <v>77</v>
      </c>
    </row>
    <row r="14" spans="2:9">
      <c r="B14" s="74">
        <v>1</v>
      </c>
      <c r="C14" s="584" t="s">
        <v>187</v>
      </c>
      <c r="D14" s="585"/>
      <c r="E14" s="585"/>
      <c r="F14" s="585"/>
      <c r="G14" s="585"/>
      <c r="H14" s="586"/>
      <c r="I14" s="248">
        <f>(I8+I9)/220</f>
        <v>0</v>
      </c>
    </row>
    <row r="15" spans="2:9">
      <c r="B15" s="136">
        <v>2</v>
      </c>
      <c r="C15" s="584" t="s">
        <v>188</v>
      </c>
      <c r="D15" s="585"/>
      <c r="E15" s="585"/>
      <c r="F15" s="585"/>
      <c r="G15" s="585"/>
      <c r="H15" s="586"/>
      <c r="I15" s="116">
        <f>I14*0.5</f>
        <v>0</v>
      </c>
    </row>
    <row r="16" spans="2:9">
      <c r="B16" s="74">
        <v>3</v>
      </c>
      <c r="C16" s="584" t="s">
        <v>189</v>
      </c>
      <c r="D16" s="585"/>
      <c r="E16" s="585"/>
      <c r="F16" s="585"/>
      <c r="G16" s="585"/>
      <c r="H16" s="586"/>
      <c r="I16" s="116">
        <f>((I14+I15)*(5/25))</f>
        <v>0</v>
      </c>
    </row>
    <row r="17" spans="2:9">
      <c r="B17" s="442" t="s">
        <v>80</v>
      </c>
      <c r="C17" s="489"/>
      <c r="D17" s="489"/>
      <c r="E17" s="489"/>
      <c r="F17" s="489"/>
      <c r="G17" s="489"/>
      <c r="H17" s="490"/>
      <c r="I17" s="114">
        <f>SUM(I14:I16)</f>
        <v>0</v>
      </c>
    </row>
    <row r="18" spans="2:9">
      <c r="B18" s="72"/>
      <c r="H18" s="76"/>
      <c r="I18" s="73"/>
    </row>
    <row r="19" spans="2:9">
      <c r="B19" s="112" t="s">
        <v>81</v>
      </c>
      <c r="C19" s="472" t="s">
        <v>82</v>
      </c>
      <c r="D19" s="473"/>
      <c r="E19" s="473"/>
      <c r="F19" s="473"/>
      <c r="G19" s="474"/>
      <c r="H19" s="108" t="s">
        <v>83</v>
      </c>
      <c r="I19" s="113" t="s">
        <v>77</v>
      </c>
    </row>
    <row r="20" spans="2:9">
      <c r="B20" s="74">
        <v>1</v>
      </c>
      <c r="C20" s="425" t="s">
        <v>84</v>
      </c>
      <c r="D20" s="426"/>
      <c r="E20" s="426"/>
      <c r="F20" s="426"/>
      <c r="G20" s="427"/>
      <c r="H20" s="249">
        <v>0.2</v>
      </c>
      <c r="I20" s="116">
        <f>ROUND($I$17*H20,2)</f>
        <v>0</v>
      </c>
    </row>
    <row r="21" spans="2:9">
      <c r="B21" s="74">
        <v>2</v>
      </c>
      <c r="C21" s="425" t="s">
        <v>85</v>
      </c>
      <c r="D21" s="426"/>
      <c r="E21" s="426"/>
      <c r="F21" s="426"/>
      <c r="G21" s="427"/>
      <c r="H21" s="249">
        <v>1.4999999999999999E-2</v>
      </c>
      <c r="I21" s="116">
        <f t="shared" ref="I21:I27" si="0">ROUND($I$17*H21,2)</f>
        <v>0</v>
      </c>
    </row>
    <row r="22" spans="2:9">
      <c r="B22" s="74">
        <v>3</v>
      </c>
      <c r="C22" s="425" t="s">
        <v>86</v>
      </c>
      <c r="D22" s="426"/>
      <c r="E22" s="426"/>
      <c r="F22" s="426"/>
      <c r="G22" s="427"/>
      <c r="H22" s="249">
        <v>0.01</v>
      </c>
      <c r="I22" s="116">
        <f t="shared" si="0"/>
        <v>0</v>
      </c>
    </row>
    <row r="23" spans="2:9">
      <c r="B23" s="74">
        <v>4</v>
      </c>
      <c r="C23" s="425" t="s">
        <v>87</v>
      </c>
      <c r="D23" s="426"/>
      <c r="E23" s="426"/>
      <c r="F23" s="426"/>
      <c r="G23" s="427"/>
      <c r="H23" s="249">
        <v>2E-3</v>
      </c>
      <c r="I23" s="116">
        <f t="shared" si="0"/>
        <v>0</v>
      </c>
    </row>
    <row r="24" spans="2:9">
      <c r="B24" s="74">
        <v>5</v>
      </c>
      <c r="C24" s="425" t="s">
        <v>88</v>
      </c>
      <c r="D24" s="426"/>
      <c r="E24" s="426"/>
      <c r="F24" s="426"/>
      <c r="G24" s="427"/>
      <c r="H24" s="249">
        <v>2.5000000000000001E-2</v>
      </c>
      <c r="I24" s="116">
        <f t="shared" si="0"/>
        <v>0</v>
      </c>
    </row>
    <row r="25" spans="2:9">
      <c r="B25" s="74">
        <v>6</v>
      </c>
      <c r="C25" s="425" t="s">
        <v>89</v>
      </c>
      <c r="D25" s="426"/>
      <c r="E25" s="426"/>
      <c r="F25" s="426"/>
      <c r="G25" s="427"/>
      <c r="H25" s="249">
        <v>0.08</v>
      </c>
      <c r="I25" s="116">
        <f t="shared" si="0"/>
        <v>0</v>
      </c>
    </row>
    <row r="26" spans="2:9">
      <c r="B26" s="74">
        <v>7</v>
      </c>
      <c r="C26" s="1" t="s">
        <v>90</v>
      </c>
      <c r="D26" s="305" t="s">
        <v>91</v>
      </c>
      <c r="E26" s="306">
        <v>0.03</v>
      </c>
      <c r="F26" s="305" t="s">
        <v>92</v>
      </c>
      <c r="G26" s="307">
        <v>1</v>
      </c>
      <c r="H26" s="249">
        <f>E26*G26</f>
        <v>0.03</v>
      </c>
      <c r="I26" s="116">
        <f t="shared" si="0"/>
        <v>0</v>
      </c>
    </row>
    <row r="27" spans="2:9">
      <c r="B27" s="74">
        <v>8</v>
      </c>
      <c r="C27" s="425" t="s">
        <v>93</v>
      </c>
      <c r="D27" s="426"/>
      <c r="E27" s="426"/>
      <c r="F27" s="426"/>
      <c r="G27" s="427"/>
      <c r="H27" s="249">
        <v>6.0000000000000001E-3</v>
      </c>
      <c r="I27" s="116">
        <f t="shared" si="0"/>
        <v>0</v>
      </c>
    </row>
    <row r="28" spans="2:9">
      <c r="B28" s="442" t="s">
        <v>80</v>
      </c>
      <c r="C28" s="489"/>
      <c r="D28" s="489"/>
      <c r="E28" s="489"/>
      <c r="F28" s="489"/>
      <c r="G28" s="490"/>
      <c r="H28" s="6">
        <f>SUM(H20:H27)</f>
        <v>0.3680000000000001</v>
      </c>
      <c r="I28" s="114">
        <f>SUM(I20:I27)</f>
        <v>0</v>
      </c>
    </row>
    <row r="29" spans="2:9">
      <c r="B29" s="72"/>
      <c r="H29" s="76"/>
      <c r="I29" s="73"/>
    </row>
    <row r="30" spans="2:9">
      <c r="B30" s="112" t="s">
        <v>94</v>
      </c>
      <c r="C30" s="472" t="s">
        <v>95</v>
      </c>
      <c r="D30" s="473"/>
      <c r="E30" s="473"/>
      <c r="F30" s="473"/>
      <c r="G30" s="474"/>
      <c r="H30" s="108" t="s">
        <v>83</v>
      </c>
      <c r="I30" s="113" t="s">
        <v>77</v>
      </c>
    </row>
    <row r="31" spans="2:9">
      <c r="B31" s="74">
        <v>1</v>
      </c>
      <c r="C31" s="465" t="s">
        <v>96</v>
      </c>
      <c r="D31" s="466"/>
      <c r="E31" s="466"/>
      <c r="F31" s="466"/>
      <c r="G31" s="475"/>
      <c r="H31" s="225">
        <f>ROUND(1/12,4)</f>
        <v>8.3299999999999999E-2</v>
      </c>
      <c r="I31" s="116">
        <f>ROUND($I$17*H31,2)</f>
        <v>0</v>
      </c>
    </row>
    <row r="32" spans="2:9">
      <c r="B32" s="74">
        <v>2</v>
      </c>
      <c r="C32" s="467" t="s">
        <v>97</v>
      </c>
      <c r="D32" s="468"/>
      <c r="E32" s="468"/>
      <c r="F32" s="468"/>
      <c r="G32" s="469"/>
      <c r="H32" s="231">
        <v>3.0249999999999999E-2</v>
      </c>
      <c r="I32" s="116">
        <f>ROUND($I$17*H32,2)</f>
        <v>0</v>
      </c>
    </row>
    <row r="33" spans="2:11">
      <c r="B33" s="74">
        <v>3</v>
      </c>
      <c r="C33" s="467" t="s">
        <v>98</v>
      </c>
      <c r="D33" s="468"/>
      <c r="E33" s="468"/>
      <c r="F33" s="468"/>
      <c r="G33" s="469"/>
      <c r="H33" s="232">
        <f>ROUND((H31+H32)*H28,4)</f>
        <v>4.1799999999999997E-2</v>
      </c>
      <c r="I33" s="116">
        <f>ROUND($I$17*H33,2)</f>
        <v>0</v>
      </c>
      <c r="K33" s="7"/>
    </row>
    <row r="34" spans="2:11">
      <c r="B34" s="442" t="s">
        <v>80</v>
      </c>
      <c r="C34" s="489"/>
      <c r="D34" s="489"/>
      <c r="E34" s="489"/>
      <c r="F34" s="489"/>
      <c r="G34" s="490"/>
      <c r="H34" s="6">
        <f>SUM(H31:H33)</f>
        <v>0.15534999999999999</v>
      </c>
      <c r="I34" s="114">
        <f>SUM(I31:I33)</f>
        <v>0</v>
      </c>
    </row>
    <row r="35" spans="2:11">
      <c r="B35" s="72"/>
      <c r="H35" s="76"/>
      <c r="I35" s="73"/>
    </row>
    <row r="36" spans="2:11">
      <c r="B36" s="112" t="s">
        <v>99</v>
      </c>
      <c r="C36" s="472" t="s">
        <v>100</v>
      </c>
      <c r="D36" s="473"/>
      <c r="E36" s="473"/>
      <c r="F36" s="473"/>
      <c r="G36" s="474"/>
      <c r="H36" s="108" t="s">
        <v>83</v>
      </c>
      <c r="I36" s="113" t="s">
        <v>77</v>
      </c>
    </row>
    <row r="37" spans="2:11">
      <c r="B37" s="74">
        <v>1</v>
      </c>
      <c r="C37" s="467" t="s">
        <v>101</v>
      </c>
      <c r="D37" s="468"/>
      <c r="E37" s="468"/>
      <c r="F37" s="468"/>
      <c r="G37" s="469"/>
      <c r="H37" s="243">
        <f>(1+(1/12)+(1/12)+(1/12/3))/12*0.05</f>
        <v>4.9768518518518512E-3</v>
      </c>
      <c r="I37" s="116">
        <f>ROUND($I$17*H37,2)</f>
        <v>0</v>
      </c>
      <c r="K37" s="8"/>
    </row>
    <row r="38" spans="2:11">
      <c r="B38" s="74">
        <v>2</v>
      </c>
      <c r="C38" s="465" t="s">
        <v>102</v>
      </c>
      <c r="D38" s="466"/>
      <c r="E38" s="466"/>
      <c r="F38" s="466"/>
      <c r="G38" s="475"/>
      <c r="H38" s="243">
        <f>H37*0.08</f>
        <v>3.9814814814814812E-4</v>
      </c>
      <c r="I38" s="116">
        <f>ROUND($I$17*H38,2)</f>
        <v>0</v>
      </c>
      <c r="K38" s="8"/>
    </row>
    <row r="39" spans="2:11">
      <c r="B39" s="74">
        <v>4</v>
      </c>
      <c r="C39" s="467" t="s">
        <v>103</v>
      </c>
      <c r="D39" s="468"/>
      <c r="E39" s="468"/>
      <c r="F39" s="468"/>
      <c r="G39" s="469"/>
      <c r="H39" s="244">
        <f>(7/30/12)*0.9</f>
        <v>1.7500000000000002E-2</v>
      </c>
      <c r="I39" s="116">
        <f>ROUND($I$17*H39,2)</f>
        <v>0</v>
      </c>
      <c r="K39" s="8"/>
    </row>
    <row r="40" spans="2:11">
      <c r="B40" s="74">
        <v>5</v>
      </c>
      <c r="C40" s="467" t="s">
        <v>104</v>
      </c>
      <c r="D40" s="468"/>
      <c r="E40" s="468"/>
      <c r="F40" s="468"/>
      <c r="G40" s="469"/>
      <c r="H40" s="244">
        <f>H39*$H$27</f>
        <v>1.0500000000000002E-4</v>
      </c>
      <c r="I40" s="116">
        <f>ROUND($I$17*H40,2)</f>
        <v>0</v>
      </c>
      <c r="K40" s="8"/>
    </row>
    <row r="41" spans="2:11">
      <c r="B41" s="74">
        <v>6</v>
      </c>
      <c r="C41" s="467" t="s">
        <v>105</v>
      </c>
      <c r="D41" s="468"/>
      <c r="E41" s="468"/>
      <c r="F41" s="468"/>
      <c r="G41" s="469"/>
      <c r="H41" s="244">
        <v>0.04</v>
      </c>
      <c r="I41" s="116">
        <f>ROUND($I$17*H41,2)</f>
        <v>0</v>
      </c>
      <c r="K41" s="8"/>
    </row>
    <row r="42" spans="2:11">
      <c r="B42" s="442" t="s">
        <v>80</v>
      </c>
      <c r="C42" s="489"/>
      <c r="D42" s="489"/>
      <c r="E42" s="489"/>
      <c r="F42" s="489"/>
      <c r="G42" s="490"/>
      <c r="H42" s="6">
        <f>SUM(H37:H41)</f>
        <v>6.2980000000000008E-2</v>
      </c>
      <c r="I42" s="114">
        <f>SUM(I37:I41)</f>
        <v>0</v>
      </c>
      <c r="K42" s="8"/>
    </row>
    <row r="43" spans="2:11">
      <c r="B43" s="72"/>
      <c r="H43" s="76"/>
      <c r="I43" s="73"/>
      <c r="K43" s="8"/>
    </row>
    <row r="44" spans="2:11">
      <c r="B44" s="442" t="s">
        <v>118</v>
      </c>
      <c r="C44" s="489"/>
      <c r="D44" s="489"/>
      <c r="E44" s="489"/>
      <c r="F44" s="489"/>
      <c r="G44" s="489"/>
      <c r="H44" s="490"/>
      <c r="I44" s="114">
        <f>I17+I28+I34+I42</f>
        <v>0</v>
      </c>
      <c r="K44" s="8"/>
    </row>
    <row r="45" spans="2:11">
      <c r="B45" s="81"/>
      <c r="C45" s="82"/>
      <c r="D45" s="82"/>
      <c r="E45" s="82"/>
      <c r="F45" s="82"/>
      <c r="G45" s="82"/>
      <c r="H45" s="82"/>
      <c r="I45" s="83"/>
      <c r="K45" s="8"/>
    </row>
    <row r="46" spans="2:11">
      <c r="B46" s="439" t="s">
        <v>119</v>
      </c>
      <c r="C46" s="440"/>
      <c r="D46" s="440"/>
      <c r="E46" s="440"/>
      <c r="F46" s="440"/>
      <c r="G46" s="440"/>
      <c r="H46" s="440"/>
      <c r="I46" s="441"/>
      <c r="K46" s="8"/>
    </row>
    <row r="47" spans="2:11">
      <c r="B47" s="72"/>
      <c r="H47" s="65"/>
      <c r="I47" s="73"/>
      <c r="K47" s="8"/>
    </row>
    <row r="48" spans="2:11">
      <c r="B48" s="112" t="s">
        <v>75</v>
      </c>
      <c r="C48" s="472" t="s">
        <v>120</v>
      </c>
      <c r="D48" s="473"/>
      <c r="E48" s="473"/>
      <c r="F48" s="473"/>
      <c r="G48" s="473"/>
      <c r="H48" s="590"/>
      <c r="I48" s="113" t="s">
        <v>77</v>
      </c>
      <c r="K48" s="8"/>
    </row>
    <row r="49" spans="2:11">
      <c r="B49" s="74">
        <v>1</v>
      </c>
      <c r="C49" s="465" t="s">
        <v>123</v>
      </c>
      <c r="D49" s="466"/>
      <c r="E49" s="466"/>
      <c r="F49" s="466"/>
      <c r="G49" s="466"/>
      <c r="H49" s="297">
        <v>0</v>
      </c>
      <c r="I49" s="241">
        <f>(I44)*H49</f>
        <v>0</v>
      </c>
      <c r="K49" s="8"/>
    </row>
    <row r="50" spans="2:11">
      <c r="B50" s="74">
        <v>2</v>
      </c>
      <c r="C50" s="465" t="s">
        <v>124</v>
      </c>
      <c r="D50" s="466"/>
      <c r="E50" s="466"/>
      <c r="F50" s="466"/>
      <c r="G50" s="466"/>
      <c r="H50" s="297">
        <v>0</v>
      </c>
      <c r="I50" s="241">
        <f>(I44+I49)*H50</f>
        <v>0</v>
      </c>
      <c r="K50" s="8"/>
    </row>
    <row r="51" spans="2:11">
      <c r="B51" s="72"/>
      <c r="C51" s="79"/>
      <c r="D51" s="79"/>
      <c r="E51" s="79"/>
      <c r="F51" s="79"/>
      <c r="G51" s="79"/>
      <c r="H51"/>
      <c r="I51" s="121"/>
      <c r="K51" s="8"/>
    </row>
    <row r="52" spans="2:11">
      <c r="B52" s="434" t="s">
        <v>183</v>
      </c>
      <c r="C52" s="435"/>
      <c r="D52" s="435"/>
      <c r="E52" s="435"/>
      <c r="F52" s="435"/>
      <c r="G52" s="435"/>
      <c r="H52" s="435"/>
      <c r="I52" s="114">
        <f>SUM(I49:I50)</f>
        <v>0</v>
      </c>
      <c r="K52" s="8"/>
    </row>
    <row r="53" spans="2:11">
      <c r="B53" s="81"/>
      <c r="C53" s="82"/>
      <c r="D53" s="82"/>
      <c r="E53" s="82"/>
      <c r="F53" s="82"/>
      <c r="G53" s="82"/>
      <c r="H53" s="82"/>
      <c r="I53" s="83"/>
      <c r="K53" s="8"/>
    </row>
    <row r="54" spans="2:11">
      <c r="B54" s="439" t="s">
        <v>133</v>
      </c>
      <c r="C54" s="440"/>
      <c r="D54" s="440"/>
      <c r="E54" s="440"/>
      <c r="F54" s="440"/>
      <c r="G54" s="440"/>
      <c r="H54" s="440"/>
      <c r="I54" s="441"/>
      <c r="K54" s="8"/>
    </row>
    <row r="55" spans="2:11">
      <c r="B55" s="72"/>
      <c r="H55" s="65"/>
      <c r="I55" s="73"/>
      <c r="K55" s="8"/>
    </row>
    <row r="56" spans="2:11">
      <c r="B56" s="112" t="s">
        <v>75</v>
      </c>
      <c r="C56" s="472" t="s">
        <v>134</v>
      </c>
      <c r="D56" s="473"/>
      <c r="E56" s="473"/>
      <c r="F56" s="473"/>
      <c r="G56" s="474"/>
      <c r="H56" s="108" t="s">
        <v>83</v>
      </c>
      <c r="I56" s="113" t="s">
        <v>77</v>
      </c>
      <c r="K56" s="8"/>
    </row>
    <row r="57" spans="2:11">
      <c r="B57" s="74">
        <v>1</v>
      </c>
      <c r="C57" s="425" t="s">
        <v>135</v>
      </c>
      <c r="D57" s="426"/>
      <c r="E57" s="426"/>
      <c r="F57" s="426"/>
      <c r="G57" s="427"/>
      <c r="H57" s="249">
        <v>7.5999999999999998E-2</v>
      </c>
      <c r="I57" s="116">
        <f>$I$61/$H$61*H57</f>
        <v>0</v>
      </c>
      <c r="K57" s="8"/>
    </row>
    <row r="58" spans="2:11">
      <c r="B58" s="74">
        <v>2</v>
      </c>
      <c r="C58" s="425" t="s">
        <v>136</v>
      </c>
      <c r="D58" s="426"/>
      <c r="E58" s="426"/>
      <c r="F58" s="426"/>
      <c r="G58" s="427"/>
      <c r="H58" s="249">
        <v>1.6500000000000001E-2</v>
      </c>
      <c r="I58" s="116">
        <f>$I$61/$H$61*H58</f>
        <v>0</v>
      </c>
      <c r="K58" s="8"/>
    </row>
    <row r="59" spans="2:11">
      <c r="B59" s="74">
        <v>3</v>
      </c>
      <c r="C59" s="425" t="s">
        <v>137</v>
      </c>
      <c r="D59" s="426"/>
      <c r="E59" s="426"/>
      <c r="F59" s="426"/>
      <c r="G59" s="427"/>
      <c r="H59" s="249">
        <v>0.05</v>
      </c>
      <c r="I59" s="116">
        <f>$I$61/$H$61*H59</f>
        <v>0</v>
      </c>
      <c r="K59" s="8"/>
    </row>
    <row r="60" spans="2:11">
      <c r="B60" s="193">
        <v>4</v>
      </c>
      <c r="C60" s="425" t="s">
        <v>138</v>
      </c>
      <c r="D60" s="426"/>
      <c r="E60" s="426"/>
      <c r="F60" s="426"/>
      <c r="G60" s="427"/>
      <c r="H60" s="249">
        <v>0</v>
      </c>
      <c r="I60" s="116">
        <f>$I$61/$H$61*H60</f>
        <v>0</v>
      </c>
      <c r="K60" s="8"/>
    </row>
    <row r="61" spans="2:11">
      <c r="B61" s="442" t="s">
        <v>80</v>
      </c>
      <c r="C61" s="489"/>
      <c r="D61" s="489"/>
      <c r="E61" s="489"/>
      <c r="F61" s="489"/>
      <c r="G61" s="490"/>
      <c r="H61" s="4">
        <f>SUM(H57:H60)</f>
        <v>0.14250000000000002</v>
      </c>
      <c r="I61" s="114">
        <f>ROUND(((I44+I52)*$H$61)/(1-$H$61),2)</f>
        <v>0</v>
      </c>
      <c r="K61" s="8"/>
    </row>
    <row r="62" spans="2:11">
      <c r="B62" s="72"/>
      <c r="H62" s="65"/>
      <c r="I62" s="121"/>
      <c r="K62" s="8"/>
    </row>
    <row r="63" spans="2:11">
      <c r="B63" s="438" t="s">
        <v>184</v>
      </c>
      <c r="C63" s="470"/>
      <c r="D63" s="470"/>
      <c r="E63" s="470"/>
      <c r="F63" s="470"/>
      <c r="G63" s="470"/>
      <c r="H63" s="471"/>
      <c r="I63" s="126">
        <f>I61</f>
        <v>0</v>
      </c>
      <c r="K63" s="8"/>
    </row>
    <row r="64" spans="2:11">
      <c r="B64" s="72"/>
      <c r="H64" s="65"/>
      <c r="I64" s="73"/>
      <c r="K64" s="8"/>
    </row>
    <row r="65" spans="2:13">
      <c r="B65" s="439" t="s">
        <v>36</v>
      </c>
      <c r="C65" s="440"/>
      <c r="D65" s="440"/>
      <c r="E65" s="440"/>
      <c r="F65" s="440"/>
      <c r="G65" s="440"/>
      <c r="H65" s="440"/>
      <c r="I65" s="441"/>
      <c r="K65" s="8"/>
    </row>
    <row r="66" spans="2:13">
      <c r="B66" s="72"/>
      <c r="H66" s="65"/>
      <c r="I66" s="73"/>
      <c r="K66" s="8"/>
    </row>
    <row r="67" spans="2:13">
      <c r="B67" s="438" t="s">
        <v>185</v>
      </c>
      <c r="C67" s="470"/>
      <c r="D67" s="470"/>
      <c r="E67" s="470"/>
      <c r="F67" s="470"/>
      <c r="G67" s="470"/>
      <c r="H67" s="471"/>
      <c r="I67" s="126">
        <f>I44+I52+I63</f>
        <v>0</v>
      </c>
      <c r="K67" s="8"/>
      <c r="M67" s="12"/>
    </row>
    <row r="68" spans="2:13">
      <c r="B68" s="78"/>
      <c r="C68" s="79"/>
      <c r="D68" s="79"/>
      <c r="E68" s="79"/>
      <c r="F68" s="79"/>
      <c r="G68" s="79"/>
      <c r="H68" s="80"/>
      <c r="I68" s="121"/>
      <c r="K68" s="8"/>
    </row>
    <row r="69" spans="2:13" ht="15.75" thickBot="1">
      <c r="B69" s="597" t="s">
        <v>200</v>
      </c>
      <c r="C69" s="598"/>
      <c r="D69" s="598"/>
      <c r="E69" s="598"/>
      <c r="F69" s="598"/>
      <c r="G69" s="598"/>
      <c r="H69" s="598"/>
      <c r="I69" s="245">
        <f>I67*20</f>
        <v>0</v>
      </c>
      <c r="K69" s="8"/>
    </row>
    <row r="71" spans="2:13">
      <c r="E71" s="394"/>
      <c r="F71" s="394"/>
      <c r="G71" s="394"/>
      <c r="H71" s="394"/>
      <c r="I71" s="394"/>
    </row>
    <row r="72" spans="2:13" ht="18">
      <c r="E72" s="395"/>
      <c r="F72" s="395"/>
      <c r="G72" s="396"/>
      <c r="H72" s="396"/>
      <c r="I72" s="396"/>
    </row>
    <row r="73" spans="2:13">
      <c r="B73" s="397"/>
      <c r="C73" s="397"/>
      <c r="D73" s="397"/>
      <c r="E73" s="397"/>
      <c r="F73" s="397"/>
      <c r="G73" s="397"/>
    </row>
  </sheetData>
  <sheetProtection selectLockedCells="1"/>
  <mergeCells count="54">
    <mergeCell ref="B73:G73"/>
    <mergeCell ref="B2:I2"/>
    <mergeCell ref="B5:I5"/>
    <mergeCell ref="B6:I6"/>
    <mergeCell ref="B8:H8"/>
    <mergeCell ref="B9:H9"/>
    <mergeCell ref="B11:I11"/>
    <mergeCell ref="C13:H13"/>
    <mergeCell ref="C14:H14"/>
    <mergeCell ref="C15:H15"/>
    <mergeCell ref="C16:H16"/>
    <mergeCell ref="B17:H17"/>
    <mergeCell ref="C19:G19"/>
    <mergeCell ref="C20:G20"/>
    <mergeCell ref="C21:G21"/>
    <mergeCell ref="C22:G22"/>
    <mergeCell ref="C23:G23"/>
    <mergeCell ref="C24:G24"/>
    <mergeCell ref="C25:G25"/>
    <mergeCell ref="C27:G27"/>
    <mergeCell ref="B28:G28"/>
    <mergeCell ref="C36:G36"/>
    <mergeCell ref="C37:G37"/>
    <mergeCell ref="C38:G38"/>
    <mergeCell ref="C39:G39"/>
    <mergeCell ref="C30:G30"/>
    <mergeCell ref="C31:G31"/>
    <mergeCell ref="C32:G32"/>
    <mergeCell ref="C33:G33"/>
    <mergeCell ref="B34:G34"/>
    <mergeCell ref="C40:G40"/>
    <mergeCell ref="C41:G41"/>
    <mergeCell ref="B42:G42"/>
    <mergeCell ref="B44:H44"/>
    <mergeCell ref="B69:H69"/>
    <mergeCell ref="B46:I46"/>
    <mergeCell ref="C48:H48"/>
    <mergeCell ref="B52:H52"/>
    <mergeCell ref="B54:I54"/>
    <mergeCell ref="C56:G56"/>
    <mergeCell ref="C57:G57"/>
    <mergeCell ref="C58:G58"/>
    <mergeCell ref="C49:G49"/>
    <mergeCell ref="C50:G50"/>
    <mergeCell ref="E71:F71"/>
    <mergeCell ref="G71:I71"/>
    <mergeCell ref="E72:F72"/>
    <mergeCell ref="G72:I72"/>
    <mergeCell ref="C59:G59"/>
    <mergeCell ref="B61:G61"/>
    <mergeCell ref="B63:H63"/>
    <mergeCell ref="B65:I65"/>
    <mergeCell ref="B67:H67"/>
    <mergeCell ref="C60:G60"/>
  </mergeCells>
  <pageMargins left="0.511811024" right="0.511811024" top="0.78740157499999996" bottom="0.78740157499999996" header="0.31496062000000002" footer="0.31496062000000002"/>
  <pageSetup paperSize="9" scale="83" orientation="portrait" r:id="rId1"/>
  <rowBreaks count="1" manualBreakCount="1">
    <brk id="53" max="8" man="1"/>
  </rowBreaks>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5"/>
  <sheetViews>
    <sheetView zoomScaleNormal="100" workbookViewId="0">
      <selection activeCell="M34" sqref="M34"/>
    </sheetView>
  </sheetViews>
  <sheetFormatPr defaultColWidth="9.140625" defaultRowHeight="15"/>
  <cols>
    <col min="1" max="1" width="12" style="7" customWidth="1"/>
    <col min="2" max="2" width="35.85546875" style="7" customWidth="1"/>
    <col min="3" max="3" width="20.7109375" style="7" customWidth="1"/>
    <col min="4" max="4" width="15.28515625" style="7" customWidth="1"/>
    <col min="5" max="5" width="9.140625" style="7"/>
    <col min="6" max="6" width="13" style="7" customWidth="1"/>
    <col min="7" max="7" width="45.85546875" style="7" customWidth="1"/>
    <col min="8" max="8" width="15.42578125" style="7" customWidth="1"/>
    <col min="9" max="9" width="15.28515625" style="7" customWidth="1"/>
    <col min="10" max="16384" width="9.140625" style="7"/>
  </cols>
  <sheetData>
    <row r="1" spans="1:9" ht="42" customHeight="1">
      <c r="A1" s="523" t="s">
        <v>201</v>
      </c>
      <c r="B1" s="524"/>
      <c r="C1" s="524"/>
      <c r="D1" s="524"/>
      <c r="E1" s="524"/>
      <c r="F1" s="524"/>
      <c r="G1" s="524"/>
      <c r="H1" s="524"/>
      <c r="I1" s="525"/>
    </row>
    <row r="2" spans="1:9" ht="15.75" thickBot="1">
      <c r="A2" s="52"/>
      <c r="B2" s="53"/>
      <c r="C2" s="53"/>
      <c r="D2" s="54"/>
      <c r="E2" s="53"/>
      <c r="F2" s="53"/>
      <c r="G2" s="53"/>
      <c r="H2" s="53"/>
      <c r="I2" s="55"/>
    </row>
    <row r="3" spans="1:9" ht="15.75" thickBot="1">
      <c r="A3" s="526" t="s">
        <v>202</v>
      </c>
      <c r="B3" s="527"/>
      <c r="C3" s="527"/>
      <c r="D3" s="527"/>
      <c r="E3" s="527"/>
      <c r="F3" s="527"/>
      <c r="G3" s="527"/>
      <c r="H3" s="527"/>
      <c r="I3" s="528"/>
    </row>
    <row r="4" spans="1:9">
      <c r="A4" s="46"/>
      <c r="D4" s="47"/>
      <c r="E4" s="47"/>
      <c r="F4" s="47"/>
      <c r="I4" s="48"/>
    </row>
    <row r="5" spans="1:9" ht="61.5" customHeight="1">
      <c r="A5" s="529" t="s">
        <v>203</v>
      </c>
      <c r="B5" s="530"/>
      <c r="C5" s="530"/>
      <c r="D5" s="531"/>
      <c r="E5" s="56"/>
      <c r="F5" s="532" t="s">
        <v>204</v>
      </c>
      <c r="G5" s="530"/>
      <c r="H5" s="530"/>
      <c r="I5" s="533"/>
    </row>
    <row r="6" spans="1:9" ht="36" customHeight="1" thickBot="1">
      <c r="A6" s="40" t="s">
        <v>205</v>
      </c>
      <c r="B6" s="41" t="s">
        <v>206</v>
      </c>
      <c r="C6" s="41" t="s">
        <v>207</v>
      </c>
      <c r="D6" s="42" t="s">
        <v>208</v>
      </c>
      <c r="E6" s="39"/>
      <c r="F6" s="40" t="s">
        <v>205</v>
      </c>
      <c r="G6" s="41" t="s">
        <v>206</v>
      </c>
      <c r="H6" s="43" t="s">
        <v>207</v>
      </c>
      <c r="I6" s="42" t="s">
        <v>208</v>
      </c>
    </row>
    <row r="7" spans="1:9" ht="35.25" customHeight="1">
      <c r="A7" s="57">
        <v>2</v>
      </c>
      <c r="B7" s="27" t="s">
        <v>209</v>
      </c>
      <c r="C7" s="31">
        <v>0</v>
      </c>
      <c r="D7" s="32">
        <f t="shared" ref="D7:D18" si="0">A7*C7</f>
        <v>0</v>
      </c>
      <c r="E7" s="30"/>
      <c r="F7" s="26">
        <v>3</v>
      </c>
      <c r="G7" s="27" t="s">
        <v>210</v>
      </c>
      <c r="H7" s="31">
        <v>0</v>
      </c>
      <c r="I7" s="58">
        <f t="shared" ref="I7:I13" si="1">F7*H7</f>
        <v>0</v>
      </c>
    </row>
    <row r="8" spans="1:9" ht="38.25" customHeight="1">
      <c r="A8" s="59">
        <v>4</v>
      </c>
      <c r="B8" s="29" t="s">
        <v>211</v>
      </c>
      <c r="C8" s="33">
        <v>0</v>
      </c>
      <c r="D8" s="34">
        <f t="shared" si="0"/>
        <v>0</v>
      </c>
      <c r="E8" s="30"/>
      <c r="F8" s="25">
        <v>4</v>
      </c>
      <c r="G8" s="28" t="s">
        <v>212</v>
      </c>
      <c r="H8" s="33">
        <v>0</v>
      </c>
      <c r="I8" s="60">
        <f t="shared" si="1"/>
        <v>0</v>
      </c>
    </row>
    <row r="9" spans="1:9" ht="45.75" customHeight="1">
      <c r="A9" s="59">
        <v>4</v>
      </c>
      <c r="B9" s="29" t="s">
        <v>213</v>
      </c>
      <c r="C9" s="33">
        <v>0</v>
      </c>
      <c r="D9" s="34">
        <f t="shared" si="0"/>
        <v>0</v>
      </c>
      <c r="E9" s="30"/>
      <c r="F9" s="25">
        <v>4</v>
      </c>
      <c r="G9" s="27" t="s">
        <v>214</v>
      </c>
      <c r="H9" s="33">
        <v>0</v>
      </c>
      <c r="I9" s="60">
        <f t="shared" si="1"/>
        <v>0</v>
      </c>
    </row>
    <row r="10" spans="1:9" ht="78" customHeight="1">
      <c r="A10" s="59">
        <v>2</v>
      </c>
      <c r="B10" s="29" t="s">
        <v>215</v>
      </c>
      <c r="C10" s="33">
        <v>0</v>
      </c>
      <c r="D10" s="34">
        <f t="shared" si="0"/>
        <v>0</v>
      </c>
      <c r="E10" s="30"/>
      <c r="F10" s="25">
        <v>3</v>
      </c>
      <c r="G10" s="29" t="s">
        <v>216</v>
      </c>
      <c r="H10" s="33">
        <v>0</v>
      </c>
      <c r="I10" s="60">
        <f t="shared" si="1"/>
        <v>0</v>
      </c>
    </row>
    <row r="11" spans="1:9" ht="63.75" customHeight="1">
      <c r="A11" s="59">
        <v>1</v>
      </c>
      <c r="B11" s="29" t="s">
        <v>217</v>
      </c>
      <c r="C11" s="33">
        <v>0</v>
      </c>
      <c r="D11" s="34">
        <f t="shared" si="0"/>
        <v>0</v>
      </c>
      <c r="E11" s="30"/>
      <c r="F11" s="25">
        <v>2</v>
      </c>
      <c r="G11" s="29" t="s">
        <v>218</v>
      </c>
      <c r="H11" s="33">
        <v>0</v>
      </c>
      <c r="I11" s="60">
        <f t="shared" si="1"/>
        <v>0</v>
      </c>
    </row>
    <row r="12" spans="1:9" ht="42" customHeight="1">
      <c r="A12" s="59">
        <v>2</v>
      </c>
      <c r="B12" s="29" t="s">
        <v>219</v>
      </c>
      <c r="C12" s="33">
        <v>0</v>
      </c>
      <c r="D12" s="34">
        <f t="shared" si="0"/>
        <v>0</v>
      </c>
      <c r="E12" s="30"/>
      <c r="F12" s="25">
        <v>2</v>
      </c>
      <c r="G12" s="29" t="s">
        <v>220</v>
      </c>
      <c r="H12" s="33">
        <v>0</v>
      </c>
      <c r="I12" s="60">
        <f t="shared" si="1"/>
        <v>0</v>
      </c>
    </row>
    <row r="13" spans="1:9" ht="33.75" customHeight="1">
      <c r="A13" s="59">
        <v>2</v>
      </c>
      <c r="B13" s="29" t="s">
        <v>221</v>
      </c>
      <c r="C13" s="33">
        <v>0</v>
      </c>
      <c r="D13" s="34">
        <f t="shared" si="0"/>
        <v>0</v>
      </c>
      <c r="E13" s="30"/>
      <c r="F13" s="25">
        <v>2</v>
      </c>
      <c r="G13" s="29" t="s">
        <v>222</v>
      </c>
      <c r="H13" s="33">
        <v>0</v>
      </c>
      <c r="I13" s="60">
        <f t="shared" si="1"/>
        <v>0</v>
      </c>
    </row>
    <row r="14" spans="1:9" ht="22.5" customHeight="1">
      <c r="A14" s="59">
        <v>5</v>
      </c>
      <c r="B14" s="29" t="s">
        <v>223</v>
      </c>
      <c r="C14" s="33">
        <v>0</v>
      </c>
      <c r="D14" s="34">
        <f t="shared" si="0"/>
        <v>0</v>
      </c>
      <c r="E14" s="30"/>
      <c r="F14" s="605" t="s">
        <v>224</v>
      </c>
      <c r="G14" s="606"/>
      <c r="H14" s="607">
        <f>SUM(I7:I13)</f>
        <v>0</v>
      </c>
      <c r="I14" s="535"/>
    </row>
    <row r="15" spans="1:9" ht="24" customHeight="1">
      <c r="A15" s="59">
        <v>2</v>
      </c>
      <c r="B15" s="29" t="s">
        <v>225</v>
      </c>
      <c r="C15" s="33">
        <v>0</v>
      </c>
      <c r="D15" s="34">
        <f t="shared" si="0"/>
        <v>0</v>
      </c>
      <c r="E15" s="30"/>
      <c r="F15" s="534" t="s">
        <v>226</v>
      </c>
      <c r="G15" s="534"/>
      <c r="H15" s="608">
        <f>H14/12</f>
        <v>0</v>
      </c>
      <c r="I15" s="536"/>
    </row>
    <row r="16" spans="1:9" ht="22.5" customHeight="1">
      <c r="A16" s="59">
        <v>2</v>
      </c>
      <c r="B16" s="29" t="s">
        <v>227</v>
      </c>
      <c r="C16" s="33">
        <v>0</v>
      </c>
      <c r="D16" s="34">
        <f t="shared" si="0"/>
        <v>0</v>
      </c>
      <c r="E16" s="30"/>
      <c r="F16" s="35"/>
      <c r="G16" s="36"/>
      <c r="H16" s="37"/>
      <c r="I16" s="61"/>
    </row>
    <row r="17" spans="1:9" ht="27" customHeight="1">
      <c r="A17" s="59">
        <v>1</v>
      </c>
      <c r="B17" s="29" t="s">
        <v>228</v>
      </c>
      <c r="C17" s="33">
        <v>0</v>
      </c>
      <c r="D17" s="34">
        <f t="shared" si="0"/>
        <v>0</v>
      </c>
      <c r="E17" s="30"/>
      <c r="F17" s="35"/>
      <c r="G17" s="36"/>
      <c r="H17" s="37"/>
      <c r="I17" s="61"/>
    </row>
    <row r="18" spans="1:9" ht="33" customHeight="1">
      <c r="A18" s="59">
        <v>2</v>
      </c>
      <c r="B18" s="38" t="s">
        <v>222</v>
      </c>
      <c r="C18" s="33">
        <v>0</v>
      </c>
      <c r="D18" s="34">
        <f t="shared" si="0"/>
        <v>0</v>
      </c>
      <c r="E18" s="30"/>
      <c r="F18" s="35"/>
      <c r="G18" s="36"/>
      <c r="H18" s="37"/>
      <c r="I18" s="61"/>
    </row>
    <row r="19" spans="1:9" ht="25.5" customHeight="1">
      <c r="A19" s="511" t="s">
        <v>224</v>
      </c>
      <c r="B19" s="609"/>
      <c r="C19" s="610">
        <f>SUM(D7:D18)</f>
        <v>0</v>
      </c>
      <c r="D19" s="611"/>
      <c r="E19" s="30"/>
      <c r="F19" s="35"/>
      <c r="G19" s="38"/>
      <c r="H19" s="37"/>
      <c r="I19" s="61"/>
    </row>
    <row r="20" spans="1:9" ht="29.25" customHeight="1">
      <c r="A20" s="511" t="s">
        <v>226</v>
      </c>
      <c r="B20" s="609"/>
      <c r="C20" s="608">
        <f>C19/12</f>
        <v>0</v>
      </c>
      <c r="D20" s="612"/>
      <c r="E20" s="30"/>
      <c r="F20" s="30"/>
      <c r="G20" s="30"/>
      <c r="H20" s="30"/>
      <c r="I20" s="62"/>
    </row>
    <row r="21" spans="1:9">
      <c r="A21" s="46"/>
      <c r="I21" s="48"/>
    </row>
    <row r="22" spans="1:9">
      <c r="A22" s="46"/>
      <c r="I22" s="48"/>
    </row>
    <row r="23" spans="1:9" ht="15.75" thickBot="1">
      <c r="A23" s="63"/>
      <c r="B23" s="50"/>
      <c r="C23" s="50"/>
      <c r="D23" s="50"/>
      <c r="E23" s="50"/>
      <c r="F23" s="50"/>
      <c r="G23" s="50"/>
      <c r="H23" s="50"/>
      <c r="I23" s="51"/>
    </row>
    <row r="24" spans="1:9" ht="43.5" customHeight="1" thickBot="1">
      <c r="A24" s="526" t="s">
        <v>229</v>
      </c>
      <c r="B24" s="527"/>
      <c r="C24" s="527"/>
      <c r="D24" s="527"/>
      <c r="E24" s="527"/>
      <c r="F24" s="527"/>
      <c r="G24" s="527"/>
      <c r="H24" s="527"/>
      <c r="I24" s="528"/>
    </row>
    <row r="25" spans="1:9">
      <c r="A25" s="46"/>
      <c r="D25" s="47"/>
      <c r="E25" s="47"/>
      <c r="F25" s="47"/>
      <c r="I25" s="48"/>
    </row>
    <row r="26" spans="1:9">
      <c r="A26" s="46"/>
      <c r="I26" s="48"/>
    </row>
    <row r="27" spans="1:9" ht="15.75" thickBot="1">
      <c r="A27" s="46"/>
      <c r="I27" s="48"/>
    </row>
    <row r="28" spans="1:9" ht="36.75" customHeight="1" thickBot="1">
      <c r="A28" s="178" t="s">
        <v>230</v>
      </c>
      <c r="B28" s="148" t="s">
        <v>231</v>
      </c>
      <c r="C28" s="521" t="s">
        <v>232</v>
      </c>
      <c r="D28" s="522"/>
      <c r="I28" s="48"/>
    </row>
    <row r="29" spans="1:9" ht="46.5" customHeight="1">
      <c r="A29" s="49">
        <v>1</v>
      </c>
      <c r="B29" s="44" t="s">
        <v>233</v>
      </c>
      <c r="C29" s="519">
        <v>0</v>
      </c>
      <c r="D29" s="520"/>
      <c r="G29" s="502" t="s">
        <v>234</v>
      </c>
      <c r="H29" s="504">
        <f>C31+D35</f>
        <v>0</v>
      </c>
      <c r="I29" s="505"/>
    </row>
    <row r="30" spans="1:9" ht="26.25" customHeight="1" thickBot="1">
      <c r="A30" s="511" t="s">
        <v>235</v>
      </c>
      <c r="B30" s="609"/>
      <c r="C30" s="607">
        <f>C29*12</f>
        <v>0</v>
      </c>
      <c r="D30" s="613"/>
      <c r="G30" s="503"/>
      <c r="H30" s="506"/>
      <c r="I30" s="507"/>
    </row>
    <row r="31" spans="1:9" ht="26.25" customHeight="1">
      <c r="A31" s="511" t="s">
        <v>226</v>
      </c>
      <c r="B31" s="609"/>
      <c r="C31" s="608">
        <f>C30/12</f>
        <v>0</v>
      </c>
      <c r="D31" s="612"/>
      <c r="I31" s="48"/>
    </row>
    <row r="32" spans="1:9" ht="15.75" thickBot="1">
      <c r="A32" s="46"/>
      <c r="I32" s="48"/>
    </row>
    <row r="33" spans="1:9" ht="45.75" customHeight="1" thickBot="1">
      <c r="A33" s="146" t="s">
        <v>205</v>
      </c>
      <c r="B33" s="148" t="s">
        <v>231</v>
      </c>
      <c r="C33" s="147" t="s">
        <v>236</v>
      </c>
      <c r="D33" s="145" t="s">
        <v>237</v>
      </c>
      <c r="E33" s="512" t="s">
        <v>238</v>
      </c>
      <c r="F33" s="513"/>
      <c r="I33" s="48"/>
    </row>
    <row r="34" spans="1:9" ht="34.5" customHeight="1" thickBot="1">
      <c r="A34" s="49">
        <v>1</v>
      </c>
      <c r="B34" s="44" t="s">
        <v>239</v>
      </c>
      <c r="C34" s="298">
        <v>0</v>
      </c>
      <c r="D34" s="45">
        <f>C34*A34</f>
        <v>0</v>
      </c>
      <c r="E34" s="514">
        <v>120</v>
      </c>
      <c r="F34" s="515"/>
      <c r="I34" s="48"/>
    </row>
    <row r="35" spans="1:9" ht="47.25" customHeight="1" thickBot="1">
      <c r="A35" s="508" t="s">
        <v>240</v>
      </c>
      <c r="B35" s="509"/>
      <c r="C35" s="510"/>
      <c r="D35" s="516">
        <f>(D34/E34)/25</f>
        <v>0</v>
      </c>
      <c r="E35" s="517"/>
      <c r="F35" s="518"/>
      <c r="G35" s="50"/>
      <c r="H35" s="50"/>
      <c r="I35" s="51"/>
    </row>
  </sheetData>
  <sheetProtection selectLockedCells="1"/>
  <mergeCells count="25">
    <mergeCell ref="C28:D28"/>
    <mergeCell ref="A1:I1"/>
    <mergeCell ref="A3:I3"/>
    <mergeCell ref="A24:I24"/>
    <mergeCell ref="A20:B20"/>
    <mergeCell ref="A5:D5"/>
    <mergeCell ref="F5:I5"/>
    <mergeCell ref="F14:G14"/>
    <mergeCell ref="F15:G15"/>
    <mergeCell ref="C19:D19"/>
    <mergeCell ref="C20:D20"/>
    <mergeCell ref="A19:B19"/>
    <mergeCell ref="H14:I14"/>
    <mergeCell ref="H15:I15"/>
    <mergeCell ref="G29:G30"/>
    <mergeCell ref="H29:I30"/>
    <mergeCell ref="A35:C35"/>
    <mergeCell ref="A30:B30"/>
    <mergeCell ref="A31:B31"/>
    <mergeCell ref="E33:F33"/>
    <mergeCell ref="E34:F34"/>
    <mergeCell ref="D35:F35"/>
    <mergeCell ref="C30:D30"/>
    <mergeCell ref="C31:D31"/>
    <mergeCell ref="C29:D29"/>
  </mergeCells>
  <pageMargins left="0.51181102362204722" right="0.51181102362204722" top="0.78740157480314965" bottom="0.78740157480314965"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sheetPr>
  <dimension ref="B1:M107"/>
  <sheetViews>
    <sheetView tabSelected="1" topLeftCell="A25" zoomScaleNormal="100" workbookViewId="0">
      <selection activeCell="I10" sqref="I10"/>
    </sheetView>
  </sheetViews>
  <sheetFormatPr defaultRowHeight="15"/>
  <cols>
    <col min="1" max="1" width="1.42578125" customWidth="1"/>
    <col min="2" max="2" width="4.140625" style="2" customWidth="1"/>
    <col min="3" max="3" width="46" customWidth="1"/>
    <col min="4" max="4" width="6.85546875" customWidth="1"/>
    <col min="5" max="5" width="8" customWidth="1"/>
    <col min="6" max="6" width="6.42578125" customWidth="1"/>
    <col min="7" max="7" width="8.85546875" customWidth="1"/>
    <col min="8" max="8" width="15.140625" style="5" customWidth="1"/>
    <col min="9" max="9" width="15.140625" style="3" customWidth="1"/>
    <col min="10" max="10" width="24.28515625" customWidth="1"/>
    <col min="11" max="11" width="10.140625" customWidth="1"/>
  </cols>
  <sheetData>
    <row r="1" spans="2:9" ht="39.75" customHeight="1" thickBot="1">
      <c r="B1" s="403" t="s">
        <v>66</v>
      </c>
      <c r="C1" s="403"/>
      <c r="D1" s="403"/>
      <c r="E1" s="403"/>
      <c r="F1" s="403"/>
      <c r="G1" s="403"/>
      <c r="H1" s="403"/>
      <c r="I1" s="403"/>
    </row>
    <row r="2" spans="2:9" s="254" customFormat="1" ht="30" customHeight="1">
      <c r="B2" s="409" t="s">
        <v>67</v>
      </c>
      <c r="C2" s="410"/>
      <c r="D2" s="410"/>
      <c r="E2" s="410"/>
      <c r="F2" s="410"/>
      <c r="G2" s="410"/>
      <c r="H2" s="410"/>
      <c r="I2" s="411"/>
    </row>
    <row r="3" spans="2:9" s="254" customFormat="1">
      <c r="B3" s="414"/>
      <c r="C3" s="541"/>
      <c r="D3" s="541"/>
      <c r="E3" s="541"/>
      <c r="F3" s="541"/>
      <c r="G3" s="541"/>
      <c r="H3" s="541"/>
      <c r="I3" s="415"/>
    </row>
    <row r="4" spans="2:9" s="254" customFormat="1">
      <c r="B4" s="404" t="s">
        <v>68</v>
      </c>
      <c r="C4" s="542"/>
      <c r="D4" s="542"/>
      <c r="E4" s="542"/>
      <c r="F4" s="542"/>
      <c r="G4" s="542"/>
      <c r="H4" s="542"/>
      <c r="I4" s="405"/>
    </row>
    <row r="5" spans="2:9" s="254" customFormat="1">
      <c r="B5" s="412" t="s">
        <v>69</v>
      </c>
      <c r="C5" s="543"/>
      <c r="D5" s="543"/>
      <c r="E5" s="543"/>
      <c r="F5" s="543"/>
      <c r="G5" s="543"/>
      <c r="H5" s="543"/>
      <c r="I5" s="413"/>
    </row>
    <row r="6" spans="2:9" s="254" customFormat="1">
      <c r="B6" s="404" t="s">
        <v>70</v>
      </c>
      <c r="C6" s="542"/>
      <c r="D6" s="542"/>
      <c r="E6" s="542"/>
      <c r="F6" s="542"/>
      <c r="G6" s="542"/>
      <c r="H6" s="542"/>
      <c r="I6" s="405"/>
    </row>
    <row r="7" spans="2:9" s="254" customFormat="1">
      <c r="B7" s="404" t="s">
        <v>71</v>
      </c>
      <c r="C7" s="542"/>
      <c r="D7" s="542"/>
      <c r="E7" s="542"/>
      <c r="F7" s="542"/>
      <c r="G7" s="542"/>
      <c r="H7" s="542"/>
      <c r="I7" s="405"/>
    </row>
    <row r="8" spans="2:9" s="254" customFormat="1">
      <c r="B8" s="406" t="s">
        <v>72</v>
      </c>
      <c r="C8" s="544"/>
      <c r="D8" s="544"/>
      <c r="E8" s="544"/>
      <c r="F8" s="544"/>
      <c r="G8" s="544"/>
      <c r="H8" s="544"/>
      <c r="I8" s="407"/>
    </row>
    <row r="9" spans="2:9" s="254" customFormat="1">
      <c r="B9" s="255"/>
      <c r="C9" s="256"/>
      <c r="D9" s="256"/>
      <c r="E9" s="256"/>
      <c r="F9" s="256"/>
      <c r="G9" s="256"/>
      <c r="H9" s="257"/>
      <c r="I9" s="258"/>
    </row>
    <row r="10" spans="2:9" s="254" customFormat="1">
      <c r="B10" s="408" t="s">
        <v>73</v>
      </c>
      <c r="C10" s="545"/>
      <c r="D10" s="545"/>
      <c r="E10" s="545"/>
      <c r="F10" s="545"/>
      <c r="G10" s="545"/>
      <c r="H10" s="546"/>
      <c r="I10" s="259"/>
    </row>
    <row r="11" spans="2:9" s="254" customFormat="1">
      <c r="B11" s="260"/>
      <c r="H11" s="261"/>
      <c r="I11" s="262"/>
    </row>
    <row r="12" spans="2:9" s="254" customFormat="1">
      <c r="B12" s="398" t="s">
        <v>74</v>
      </c>
      <c r="C12" s="547"/>
      <c r="D12" s="547"/>
      <c r="E12" s="547"/>
      <c r="F12" s="547"/>
      <c r="G12" s="547"/>
      <c r="H12" s="547"/>
      <c r="I12" s="399"/>
    </row>
    <row r="13" spans="2:9" s="254" customFormat="1">
      <c r="B13" s="260"/>
      <c r="H13" s="261"/>
      <c r="I13" s="262"/>
    </row>
    <row r="14" spans="2:9" s="254" customFormat="1">
      <c r="B14" s="263" t="s">
        <v>75</v>
      </c>
      <c r="C14" s="548" t="s">
        <v>76</v>
      </c>
      <c r="D14" s="549"/>
      <c r="E14" s="549"/>
      <c r="F14" s="549"/>
      <c r="G14" s="549"/>
      <c r="H14" s="550"/>
      <c r="I14" s="264" t="s">
        <v>77</v>
      </c>
    </row>
    <row r="15" spans="2:9" s="254" customFormat="1">
      <c r="B15" s="265">
        <v>1</v>
      </c>
      <c r="C15" s="551" t="s">
        <v>78</v>
      </c>
      <c r="D15" s="552"/>
      <c r="E15" s="552"/>
      <c r="F15" s="552"/>
      <c r="G15" s="552"/>
      <c r="H15" s="553"/>
      <c r="I15" s="266">
        <f>I10</f>
        <v>0</v>
      </c>
    </row>
    <row r="16" spans="2:9" s="254" customFormat="1" ht="39" customHeight="1">
      <c r="B16" s="59">
        <v>2</v>
      </c>
      <c r="C16" s="416" t="s">
        <v>79</v>
      </c>
      <c r="D16" s="417"/>
      <c r="E16" s="417"/>
      <c r="F16" s="417"/>
      <c r="G16" s="418"/>
      <c r="H16" s="267">
        <v>1945.67</v>
      </c>
      <c r="I16" s="268">
        <f>1945.67*0.4</f>
        <v>778.26800000000003</v>
      </c>
    </row>
    <row r="17" spans="2:9" s="254" customFormat="1" ht="23.25" customHeight="1">
      <c r="B17" s="308"/>
      <c r="C17" s="419"/>
      <c r="D17" s="420"/>
      <c r="E17" s="420"/>
      <c r="F17" s="420"/>
      <c r="G17" s="420"/>
      <c r="H17" s="421"/>
      <c r="I17" s="309"/>
    </row>
    <row r="18" spans="2:9" s="254" customFormat="1" ht="18" customHeight="1">
      <c r="B18" s="393" t="s">
        <v>80</v>
      </c>
      <c r="C18" s="554"/>
      <c r="D18" s="554"/>
      <c r="E18" s="554"/>
      <c r="F18" s="554"/>
      <c r="G18" s="554"/>
      <c r="H18" s="555"/>
      <c r="I18" s="269">
        <f>SUM(I15:I17)</f>
        <v>778.26800000000003</v>
      </c>
    </row>
    <row r="19" spans="2:9" s="254" customFormat="1">
      <c r="B19" s="260"/>
      <c r="H19" s="270"/>
      <c r="I19" s="262"/>
    </row>
    <row r="20" spans="2:9" s="254" customFormat="1">
      <c r="B20" s="263" t="s">
        <v>81</v>
      </c>
      <c r="C20" s="548" t="s">
        <v>82</v>
      </c>
      <c r="D20" s="549"/>
      <c r="E20" s="549"/>
      <c r="F20" s="549"/>
      <c r="G20" s="550"/>
      <c r="H20" s="115" t="s">
        <v>83</v>
      </c>
      <c r="I20" s="264" t="s">
        <v>77</v>
      </c>
    </row>
    <row r="21" spans="2:9" s="254" customFormat="1">
      <c r="B21" s="265">
        <v>1</v>
      </c>
      <c r="C21" s="390" t="s">
        <v>84</v>
      </c>
      <c r="D21" s="391"/>
      <c r="E21" s="391"/>
      <c r="F21" s="391"/>
      <c r="G21" s="392"/>
      <c r="H21" s="271">
        <v>0.2</v>
      </c>
      <c r="I21" s="266">
        <f>ROUND($I$18*H21,2)</f>
        <v>155.65</v>
      </c>
    </row>
    <row r="22" spans="2:9" s="254" customFormat="1">
      <c r="B22" s="265">
        <v>2</v>
      </c>
      <c r="C22" s="390" t="s">
        <v>85</v>
      </c>
      <c r="D22" s="391"/>
      <c r="E22" s="391"/>
      <c r="F22" s="391"/>
      <c r="G22" s="392"/>
      <c r="H22" s="271">
        <v>1.4999999999999999E-2</v>
      </c>
      <c r="I22" s="266">
        <f t="shared" ref="I22:I28" si="0">ROUND($I$18*H22,2)</f>
        <v>11.67</v>
      </c>
    </row>
    <row r="23" spans="2:9" s="254" customFormat="1">
      <c r="B23" s="265">
        <v>3</v>
      </c>
      <c r="C23" s="390" t="s">
        <v>86</v>
      </c>
      <c r="D23" s="391"/>
      <c r="E23" s="391"/>
      <c r="F23" s="391"/>
      <c r="G23" s="392"/>
      <c r="H23" s="271">
        <v>0.01</v>
      </c>
      <c r="I23" s="266">
        <f t="shared" si="0"/>
        <v>7.78</v>
      </c>
    </row>
    <row r="24" spans="2:9" s="254" customFormat="1">
      <c r="B24" s="265">
        <v>4</v>
      </c>
      <c r="C24" s="390" t="s">
        <v>87</v>
      </c>
      <c r="D24" s="391"/>
      <c r="E24" s="391"/>
      <c r="F24" s="391"/>
      <c r="G24" s="392"/>
      <c r="H24" s="271">
        <v>2E-3</v>
      </c>
      <c r="I24" s="266">
        <f t="shared" si="0"/>
        <v>1.56</v>
      </c>
    </row>
    <row r="25" spans="2:9" s="254" customFormat="1">
      <c r="B25" s="265">
        <v>5</v>
      </c>
      <c r="C25" s="390" t="s">
        <v>88</v>
      </c>
      <c r="D25" s="391"/>
      <c r="E25" s="391"/>
      <c r="F25" s="391"/>
      <c r="G25" s="392"/>
      <c r="H25" s="271">
        <v>2.5000000000000001E-2</v>
      </c>
      <c r="I25" s="266">
        <f t="shared" si="0"/>
        <v>19.46</v>
      </c>
    </row>
    <row r="26" spans="2:9" s="254" customFormat="1">
      <c r="B26" s="265">
        <v>6</v>
      </c>
      <c r="C26" s="390" t="s">
        <v>89</v>
      </c>
      <c r="D26" s="391"/>
      <c r="E26" s="391"/>
      <c r="F26" s="391"/>
      <c r="G26" s="392"/>
      <c r="H26" s="271">
        <v>0.08</v>
      </c>
      <c r="I26" s="266">
        <f t="shared" si="0"/>
        <v>62.26</v>
      </c>
    </row>
    <row r="27" spans="2:9" s="254" customFormat="1">
      <c r="B27" s="265">
        <v>7</v>
      </c>
      <c r="C27" s="272" t="s">
        <v>90</v>
      </c>
      <c r="D27" s="299" t="s">
        <v>91</v>
      </c>
      <c r="E27" s="300">
        <v>0.03</v>
      </c>
      <c r="F27" s="299" t="s">
        <v>92</v>
      </c>
      <c r="G27" s="301">
        <v>1</v>
      </c>
      <c r="H27" s="271">
        <f>E27*G27</f>
        <v>0.03</v>
      </c>
      <c r="I27" s="279">
        <f t="shared" si="0"/>
        <v>23.35</v>
      </c>
    </row>
    <row r="28" spans="2:9" s="254" customFormat="1">
      <c r="B28" s="265">
        <v>8</v>
      </c>
      <c r="C28" s="390" t="s">
        <v>93</v>
      </c>
      <c r="D28" s="391"/>
      <c r="E28" s="391"/>
      <c r="F28" s="391"/>
      <c r="G28" s="392"/>
      <c r="H28" s="271">
        <v>6.0000000000000001E-3</v>
      </c>
      <c r="I28" s="266">
        <f t="shared" si="0"/>
        <v>4.67</v>
      </c>
    </row>
    <row r="29" spans="2:9" s="254" customFormat="1">
      <c r="B29" s="393" t="s">
        <v>80</v>
      </c>
      <c r="C29" s="554"/>
      <c r="D29" s="554"/>
      <c r="E29" s="554"/>
      <c r="F29" s="554"/>
      <c r="G29" s="555"/>
      <c r="H29" s="127">
        <f>SUM(H21:H28)</f>
        <v>0.3680000000000001</v>
      </c>
      <c r="I29" s="269">
        <f>SUM(I21:I28)</f>
        <v>286.40000000000003</v>
      </c>
    </row>
    <row r="30" spans="2:9" s="254" customFormat="1">
      <c r="B30" s="260"/>
      <c r="H30" s="270"/>
      <c r="I30" s="262"/>
    </row>
    <row r="31" spans="2:9" s="254" customFormat="1">
      <c r="B31" s="263" t="s">
        <v>94</v>
      </c>
      <c r="C31" s="548" t="s">
        <v>95</v>
      </c>
      <c r="D31" s="549"/>
      <c r="E31" s="549"/>
      <c r="F31" s="549"/>
      <c r="G31" s="550"/>
      <c r="H31" s="115" t="s">
        <v>83</v>
      </c>
      <c r="I31" s="264" t="s">
        <v>77</v>
      </c>
    </row>
    <row r="32" spans="2:9" s="254" customFormat="1">
      <c r="B32" s="265">
        <v>1</v>
      </c>
      <c r="C32" s="465" t="s">
        <v>96</v>
      </c>
      <c r="D32" s="466"/>
      <c r="E32" s="466"/>
      <c r="F32" s="466"/>
      <c r="G32" s="475"/>
      <c r="H32" s="273">
        <f>ROUND(1/12,4)</f>
        <v>8.3299999999999999E-2</v>
      </c>
      <c r="I32" s="266">
        <f>ROUND($I$18*H32,2)</f>
        <v>64.83</v>
      </c>
    </row>
    <row r="33" spans="2:11" s="254" customFormat="1">
      <c r="B33" s="265">
        <v>2</v>
      </c>
      <c r="C33" s="465" t="s">
        <v>97</v>
      </c>
      <c r="D33" s="466"/>
      <c r="E33" s="466"/>
      <c r="F33" s="466"/>
      <c r="G33" s="475"/>
      <c r="H33" s="274">
        <v>3.0249999999999999E-2</v>
      </c>
      <c r="I33" s="266">
        <f>ROUND($I$18*H33,2)</f>
        <v>23.54</v>
      </c>
    </row>
    <row r="34" spans="2:11" s="254" customFormat="1">
      <c r="B34" s="265">
        <v>3</v>
      </c>
      <c r="C34" s="465" t="s">
        <v>98</v>
      </c>
      <c r="D34" s="466"/>
      <c r="E34" s="466"/>
      <c r="F34" s="466"/>
      <c r="G34" s="475"/>
      <c r="H34" s="273">
        <f>ROUND((H32+H33)*H29,4)</f>
        <v>4.1799999999999997E-2</v>
      </c>
      <c r="I34" s="266">
        <f>ROUND($I$18*H34,2)</f>
        <v>32.53</v>
      </c>
    </row>
    <row r="35" spans="2:11" s="254" customFormat="1">
      <c r="B35" s="393" t="s">
        <v>80</v>
      </c>
      <c r="C35" s="554"/>
      <c r="D35" s="554"/>
      <c r="E35" s="554"/>
      <c r="F35" s="554"/>
      <c r="G35" s="555"/>
      <c r="H35" s="127">
        <f>SUM(H32:H34)</f>
        <v>0.15534999999999999</v>
      </c>
      <c r="I35" s="269">
        <f>SUM(I32:I34)</f>
        <v>120.9</v>
      </c>
    </row>
    <row r="36" spans="2:11" s="254" customFormat="1">
      <c r="B36" s="260"/>
      <c r="H36" s="270"/>
      <c r="I36" s="262"/>
    </row>
    <row r="37" spans="2:11" s="254" customFormat="1">
      <c r="B37" s="263" t="s">
        <v>99</v>
      </c>
      <c r="C37" s="548" t="s">
        <v>100</v>
      </c>
      <c r="D37" s="549"/>
      <c r="E37" s="549"/>
      <c r="F37" s="549"/>
      <c r="G37" s="550"/>
      <c r="H37" s="115" t="s">
        <v>83</v>
      </c>
      <c r="I37" s="264" t="s">
        <v>77</v>
      </c>
    </row>
    <row r="38" spans="2:11" s="254" customFormat="1">
      <c r="B38" s="130">
        <v>1</v>
      </c>
      <c r="C38" s="467" t="s">
        <v>101</v>
      </c>
      <c r="D38" s="468"/>
      <c r="E38" s="468"/>
      <c r="F38" s="468"/>
      <c r="G38" s="469"/>
      <c r="H38" s="23">
        <f>(1+(1/12)+(1/12)+(1/12/3))/12*0.05</f>
        <v>4.9768518518518512E-3</v>
      </c>
      <c r="I38" s="266">
        <f>ROUND($I$18*H38,2)</f>
        <v>3.87</v>
      </c>
      <c r="K38" s="275"/>
    </row>
    <row r="39" spans="2:11" s="254" customFormat="1">
      <c r="B39" s="130">
        <v>2</v>
      </c>
      <c r="C39" s="465" t="s">
        <v>102</v>
      </c>
      <c r="D39" s="466"/>
      <c r="E39" s="466"/>
      <c r="F39" s="466"/>
      <c r="G39" s="475"/>
      <c r="H39" s="23">
        <f>H38*0.08</f>
        <v>3.9814814814814812E-4</v>
      </c>
      <c r="I39" s="266">
        <f>ROUND($I$18*H39,2)</f>
        <v>0.31</v>
      </c>
      <c r="K39" s="275"/>
    </row>
    <row r="40" spans="2:11" s="254" customFormat="1">
      <c r="B40" s="130">
        <v>3</v>
      </c>
      <c r="C40" s="467" t="s">
        <v>103</v>
      </c>
      <c r="D40" s="468"/>
      <c r="E40" s="468"/>
      <c r="F40" s="468"/>
      <c r="G40" s="469"/>
      <c r="H40" s="23">
        <f>(7/30/12)*0.9</f>
        <v>1.7500000000000002E-2</v>
      </c>
      <c r="I40" s="266">
        <f>ROUND($I$18*H40,2)</f>
        <v>13.62</v>
      </c>
      <c r="K40" s="275"/>
    </row>
    <row r="41" spans="2:11" s="254" customFormat="1">
      <c r="B41" s="130">
        <v>4</v>
      </c>
      <c r="C41" s="467" t="s">
        <v>104</v>
      </c>
      <c r="D41" s="468"/>
      <c r="E41" s="468"/>
      <c r="F41" s="468"/>
      <c r="G41" s="469"/>
      <c r="H41" s="23">
        <f>H40*$H$29</f>
        <v>6.4400000000000021E-3</v>
      </c>
      <c r="I41" s="266">
        <f>ROUND($I$18*H41,2)</f>
        <v>5.01</v>
      </c>
      <c r="K41" s="275"/>
    </row>
    <row r="42" spans="2:11" s="254" customFormat="1">
      <c r="B42" s="130">
        <v>5</v>
      </c>
      <c r="C42" s="467" t="s">
        <v>105</v>
      </c>
      <c r="D42" s="468"/>
      <c r="E42" s="468"/>
      <c r="F42" s="468"/>
      <c r="G42" s="469"/>
      <c r="H42" s="23">
        <v>0.04</v>
      </c>
      <c r="I42" s="266">
        <f>ROUND($I$18*H42,2)</f>
        <v>31.13</v>
      </c>
      <c r="K42" s="275"/>
    </row>
    <row r="43" spans="2:11" s="254" customFormat="1">
      <c r="B43" s="393" t="s">
        <v>80</v>
      </c>
      <c r="C43" s="554"/>
      <c r="D43" s="554"/>
      <c r="E43" s="554"/>
      <c r="F43" s="554"/>
      <c r="G43" s="555"/>
      <c r="H43" s="127">
        <f>SUM(H38:H42)</f>
        <v>6.9315000000000002E-2</v>
      </c>
      <c r="I43" s="269">
        <f>SUM(I38:I42)</f>
        <v>53.94</v>
      </c>
      <c r="K43" s="275"/>
    </row>
    <row r="44" spans="2:11" s="254" customFormat="1">
      <c r="B44" s="276"/>
      <c r="H44" s="270"/>
      <c r="I44" s="262"/>
      <c r="K44" s="275"/>
    </row>
    <row r="45" spans="2:11" s="254" customFormat="1">
      <c r="B45" s="263" t="s">
        <v>106</v>
      </c>
      <c r="C45" s="548" t="s">
        <v>107</v>
      </c>
      <c r="D45" s="549"/>
      <c r="E45" s="549"/>
      <c r="F45" s="549"/>
      <c r="G45" s="550"/>
      <c r="H45" s="115"/>
      <c r="I45" s="264" t="s">
        <v>77</v>
      </c>
      <c r="K45" s="275"/>
    </row>
    <row r="46" spans="2:11" s="254" customFormat="1">
      <c r="B46" s="265">
        <v>1</v>
      </c>
      <c r="C46" s="467" t="s">
        <v>108</v>
      </c>
      <c r="D46" s="468"/>
      <c r="E46" s="468"/>
      <c r="F46" s="468"/>
      <c r="G46" s="468"/>
      <c r="H46" s="469"/>
      <c r="I46" s="233">
        <f>ROUND((I18*9.075%)+(I18*(9.075%)*H29),2)</f>
        <v>96.62</v>
      </c>
      <c r="K46" s="275"/>
    </row>
    <row r="47" spans="2:11" s="254" customFormat="1">
      <c r="B47" s="265">
        <v>2</v>
      </c>
      <c r="C47" s="465" t="s">
        <v>109</v>
      </c>
      <c r="D47" s="466"/>
      <c r="E47" s="466"/>
      <c r="F47" s="466"/>
      <c r="G47" s="466"/>
      <c r="H47" s="475"/>
      <c r="I47" s="233">
        <f>ROUND((1/30)/12*(I18+I35+I55+I46+I43+I29),2)</f>
        <v>3.71</v>
      </c>
      <c r="K47" s="275"/>
    </row>
    <row r="48" spans="2:11" s="254" customFormat="1">
      <c r="B48" s="265">
        <v>3</v>
      </c>
      <c r="C48" s="465" t="s">
        <v>110</v>
      </c>
      <c r="D48" s="466"/>
      <c r="E48" s="466"/>
      <c r="F48" s="466"/>
      <c r="G48" s="466"/>
      <c r="H48" s="475"/>
      <c r="I48" s="233">
        <f>ROUND((((1/30)*5)/12*(I18+I35+I43+I46+I55+I29)*0.015),2)</f>
        <v>0.28000000000000003</v>
      </c>
      <c r="K48" s="275"/>
    </row>
    <row r="49" spans="2:11" s="254" customFormat="1">
      <c r="B49" s="265">
        <v>4</v>
      </c>
      <c r="C49" s="465" t="s">
        <v>111</v>
      </c>
      <c r="D49" s="466"/>
      <c r="E49" s="466"/>
      <c r="F49" s="466"/>
      <c r="G49" s="466"/>
      <c r="H49" s="475"/>
      <c r="I49" s="233">
        <f>ROUND((((($I$18+I35+I43+I46+I55+I29)/30*0.69)/12)),2)</f>
        <v>2.56</v>
      </c>
      <c r="K49" s="275"/>
    </row>
    <row r="50" spans="2:11" s="254" customFormat="1">
      <c r="B50" s="265">
        <v>5</v>
      </c>
      <c r="C50" s="465" t="s">
        <v>112</v>
      </c>
      <c r="D50" s="466"/>
      <c r="E50" s="466"/>
      <c r="F50" s="466"/>
      <c r="G50" s="466"/>
      <c r="H50" s="475"/>
      <c r="I50" s="234">
        <f>ROUND((((($I$18*0.121)+(H29)*(I18*0.121))*(4/12)))*0.02,2) + ((H26*I18 + H29*I32 + I55 + I43)*4/12)*0.02</f>
        <v>1.7937258666666667</v>
      </c>
      <c r="K50" s="275"/>
    </row>
    <row r="51" spans="2:11" s="254" customFormat="1">
      <c r="B51" s="265">
        <v>6</v>
      </c>
      <c r="C51" s="465" t="s">
        <v>113</v>
      </c>
      <c r="D51" s="466"/>
      <c r="E51" s="466"/>
      <c r="F51" s="466"/>
      <c r="G51" s="466"/>
      <c r="H51" s="475"/>
      <c r="I51" s="234">
        <f>ROUND(((3/30)/12)*(I18+I35+I43+I46+I55+I29),2)</f>
        <v>11.13</v>
      </c>
      <c r="K51" s="275"/>
    </row>
    <row r="52" spans="2:11" s="254" customFormat="1">
      <c r="B52" s="393" t="s">
        <v>80</v>
      </c>
      <c r="C52" s="554"/>
      <c r="D52" s="554"/>
      <c r="E52" s="554"/>
      <c r="F52" s="554"/>
      <c r="G52" s="555"/>
      <c r="H52" s="127"/>
      <c r="I52" s="277">
        <f>SUM(I46:I51)</f>
        <v>116.09372586666666</v>
      </c>
      <c r="K52" s="275"/>
    </row>
    <row r="53" spans="2:11" s="254" customFormat="1">
      <c r="B53" s="260"/>
      <c r="H53" s="278"/>
      <c r="I53" s="262"/>
      <c r="K53" s="275"/>
    </row>
    <row r="54" spans="2:11" s="254" customFormat="1">
      <c r="B54" s="263" t="s">
        <v>114</v>
      </c>
      <c r="C54" s="548" t="s">
        <v>115</v>
      </c>
      <c r="D54" s="549"/>
      <c r="E54" s="549"/>
      <c r="F54" s="549"/>
      <c r="G54" s="549"/>
      <c r="H54" s="550"/>
      <c r="I54" s="264" t="s">
        <v>77</v>
      </c>
      <c r="K54" s="275"/>
    </row>
    <row r="55" spans="2:11" s="254" customFormat="1">
      <c r="B55" s="265">
        <v>1</v>
      </c>
      <c r="C55" s="556" t="s">
        <v>116</v>
      </c>
      <c r="D55" s="557"/>
      <c r="E55" s="557"/>
      <c r="F55" s="557"/>
      <c r="G55" s="557"/>
      <c r="H55" s="558"/>
      <c r="I55" s="279">
        <v>0</v>
      </c>
      <c r="K55" s="275"/>
    </row>
    <row r="56" spans="2:11" s="254" customFormat="1">
      <c r="B56" s="265">
        <v>2</v>
      </c>
      <c r="C56" s="559" t="s">
        <v>117</v>
      </c>
      <c r="D56" s="560"/>
      <c r="E56" s="560"/>
      <c r="F56" s="560"/>
      <c r="G56" s="560"/>
      <c r="H56" s="561"/>
      <c r="I56" s="279">
        <v>0</v>
      </c>
      <c r="K56" s="275"/>
    </row>
    <row r="57" spans="2:11" s="254" customFormat="1">
      <c r="B57" s="393" t="s">
        <v>80</v>
      </c>
      <c r="C57" s="554"/>
      <c r="D57" s="554"/>
      <c r="E57" s="554"/>
      <c r="F57" s="554"/>
      <c r="G57" s="554"/>
      <c r="H57" s="555"/>
      <c r="I57" s="269">
        <f>SUM(I55:I56)</f>
        <v>0</v>
      </c>
      <c r="K57" s="275"/>
    </row>
    <row r="58" spans="2:11" s="254" customFormat="1">
      <c r="B58" s="260"/>
      <c r="H58" s="270"/>
      <c r="I58" s="280"/>
      <c r="K58" s="275"/>
    </row>
    <row r="59" spans="2:11" s="254" customFormat="1">
      <c r="B59" s="393" t="s">
        <v>118</v>
      </c>
      <c r="C59" s="554"/>
      <c r="D59" s="554"/>
      <c r="E59" s="554"/>
      <c r="F59" s="554"/>
      <c r="G59" s="554"/>
      <c r="H59" s="555"/>
      <c r="I59" s="269">
        <f>I57+I52+I43+I35+I29+I18</f>
        <v>1355.6017258666668</v>
      </c>
      <c r="K59" s="275"/>
    </row>
    <row r="60" spans="2:11" s="254" customFormat="1">
      <c r="B60" s="260"/>
      <c r="H60" s="261"/>
      <c r="I60" s="262"/>
      <c r="K60" s="275"/>
    </row>
    <row r="61" spans="2:11" s="254" customFormat="1">
      <c r="B61" s="398" t="s">
        <v>119</v>
      </c>
      <c r="C61" s="547"/>
      <c r="D61" s="547"/>
      <c r="E61" s="547"/>
      <c r="F61" s="547"/>
      <c r="G61" s="547"/>
      <c r="H61" s="547"/>
      <c r="I61" s="399"/>
      <c r="K61" s="275"/>
    </row>
    <row r="62" spans="2:11" s="254" customFormat="1">
      <c r="B62" s="260"/>
      <c r="H62" s="261"/>
      <c r="I62" s="262"/>
      <c r="K62" s="275"/>
    </row>
    <row r="63" spans="2:11" s="254" customFormat="1">
      <c r="B63" s="263" t="s">
        <v>75</v>
      </c>
      <c r="C63" s="548" t="s">
        <v>120</v>
      </c>
      <c r="D63" s="549"/>
      <c r="E63" s="549"/>
      <c r="F63" s="549"/>
      <c r="G63" s="549"/>
      <c r="H63" s="550"/>
      <c r="I63" s="264" t="s">
        <v>77</v>
      </c>
      <c r="K63" s="275"/>
    </row>
    <row r="64" spans="2:11" s="254" customFormat="1">
      <c r="B64" s="265">
        <v>1</v>
      </c>
      <c r="C64" s="556" t="s">
        <v>121</v>
      </c>
      <c r="D64" s="557"/>
      <c r="E64" s="557"/>
      <c r="F64" s="557"/>
      <c r="G64" s="558"/>
      <c r="H64" s="281">
        <f>UNIFORMES_EQUIPAMENTOS!H15</f>
        <v>0</v>
      </c>
      <c r="I64" s="266">
        <f>H64*1</f>
        <v>0</v>
      </c>
      <c r="K64" s="275"/>
    </row>
    <row r="65" spans="2:11" s="254" customFormat="1">
      <c r="B65" s="265">
        <v>2</v>
      </c>
      <c r="C65" s="556" t="s">
        <v>122</v>
      </c>
      <c r="D65" s="557"/>
      <c r="E65" s="557"/>
      <c r="F65" s="557"/>
      <c r="G65" s="558"/>
      <c r="H65" s="281">
        <f>UNIFORMES_EQUIPAMENTOS!H29</f>
        <v>0</v>
      </c>
      <c r="I65" s="266">
        <f>H65*1</f>
        <v>0</v>
      </c>
      <c r="K65" s="275"/>
    </row>
    <row r="66" spans="2:11" s="254" customFormat="1">
      <c r="B66" s="265">
        <v>3</v>
      </c>
      <c r="C66" s="556" t="s">
        <v>123</v>
      </c>
      <c r="D66" s="557"/>
      <c r="E66" s="557"/>
      <c r="F66" s="557"/>
      <c r="G66" s="558"/>
      <c r="H66" s="282">
        <v>0</v>
      </c>
      <c r="I66" s="266">
        <f>(I59+I64+I65)*H66</f>
        <v>0</v>
      </c>
      <c r="K66" s="275"/>
    </row>
    <row r="67" spans="2:11" s="254" customFormat="1">
      <c r="B67" s="265">
        <v>4</v>
      </c>
      <c r="C67" s="556" t="s">
        <v>124</v>
      </c>
      <c r="D67" s="557"/>
      <c r="E67" s="557"/>
      <c r="F67" s="557"/>
      <c r="G67" s="558"/>
      <c r="H67" s="282">
        <v>0</v>
      </c>
      <c r="I67" s="266">
        <f>(I59+I64+I65+I66)*H67</f>
        <v>0</v>
      </c>
      <c r="K67" s="275"/>
    </row>
    <row r="68" spans="2:11" s="254" customFormat="1">
      <c r="B68" s="393" t="s">
        <v>125</v>
      </c>
      <c r="C68" s="554"/>
      <c r="D68" s="554"/>
      <c r="E68" s="554"/>
      <c r="F68" s="554"/>
      <c r="G68" s="554"/>
      <c r="H68" s="555"/>
      <c r="I68" s="269">
        <f>SUM(I64:I67)</f>
        <v>0</v>
      </c>
      <c r="K68" s="275"/>
    </row>
    <row r="69" spans="2:11" s="254" customFormat="1">
      <c r="B69" s="260"/>
      <c r="H69" s="261"/>
      <c r="I69" s="262"/>
      <c r="K69" s="275"/>
    </row>
    <row r="70" spans="2:11" s="254" customFormat="1">
      <c r="B70" s="398" t="s">
        <v>126</v>
      </c>
      <c r="C70" s="547"/>
      <c r="D70" s="547"/>
      <c r="E70" s="547"/>
      <c r="F70" s="547"/>
      <c r="G70" s="547"/>
      <c r="H70" s="547"/>
      <c r="I70" s="399"/>
      <c r="K70" s="275"/>
    </row>
    <row r="71" spans="2:11" s="254" customFormat="1">
      <c r="B71" s="260"/>
      <c r="H71" s="261"/>
      <c r="I71" s="262"/>
      <c r="K71" s="275"/>
    </row>
    <row r="72" spans="2:11" s="254" customFormat="1">
      <c r="B72" s="265" t="s">
        <v>75</v>
      </c>
      <c r="C72" s="283" t="s">
        <v>127</v>
      </c>
      <c r="D72" s="284"/>
      <c r="E72" s="284"/>
      <c r="F72" s="284"/>
      <c r="G72" s="284"/>
      <c r="H72" s="285"/>
      <c r="I72" s="286" t="s">
        <v>77</v>
      </c>
      <c r="K72" s="275"/>
    </row>
    <row r="73" spans="2:11" s="254" customFormat="1">
      <c r="B73" s="265">
        <v>1</v>
      </c>
      <c r="C73" s="400" t="s">
        <v>128</v>
      </c>
      <c r="D73" s="401"/>
      <c r="E73" s="401"/>
      <c r="F73" s="401"/>
      <c r="G73" s="402"/>
      <c r="H73" s="287">
        <v>0</v>
      </c>
      <c r="I73" s="266">
        <f>(ROUND((44*(H73))-(I10*0.06),2))*1</f>
        <v>0</v>
      </c>
      <c r="K73" s="275"/>
    </row>
    <row r="74" spans="2:11" s="254" customFormat="1">
      <c r="B74" s="265">
        <v>2</v>
      </c>
      <c r="C74" s="556" t="s">
        <v>129</v>
      </c>
      <c r="D74" s="557"/>
      <c r="E74" s="557"/>
      <c r="F74" s="557"/>
      <c r="G74" s="558"/>
      <c r="H74" s="287">
        <v>0</v>
      </c>
      <c r="I74" s="279">
        <f>(ROUND((H74*22)*0.8,2))</f>
        <v>0</v>
      </c>
      <c r="K74" s="275"/>
    </row>
    <row r="75" spans="2:11" s="254" customFormat="1">
      <c r="B75" s="265">
        <v>3</v>
      </c>
      <c r="C75" s="400" t="s">
        <v>130</v>
      </c>
      <c r="D75" s="401"/>
      <c r="E75" s="401"/>
      <c r="F75" s="401"/>
      <c r="G75" s="402"/>
      <c r="H75" s="287">
        <v>0</v>
      </c>
      <c r="I75" s="266">
        <f>H75/12</f>
        <v>0</v>
      </c>
      <c r="K75" s="275"/>
    </row>
    <row r="76" spans="2:11" s="254" customFormat="1">
      <c r="B76" s="265">
        <v>4</v>
      </c>
      <c r="C76" s="556" t="s">
        <v>131</v>
      </c>
      <c r="D76" s="557"/>
      <c r="E76" s="557"/>
      <c r="F76" s="557"/>
      <c r="G76" s="558"/>
      <c r="H76" s="288">
        <v>339.49</v>
      </c>
      <c r="I76" s="266">
        <f>H76*3.5</f>
        <v>1188.2150000000001</v>
      </c>
      <c r="K76" s="275"/>
    </row>
    <row r="77" spans="2:11" s="254" customFormat="1">
      <c r="B77" s="562" t="s">
        <v>132</v>
      </c>
      <c r="C77" s="563"/>
      <c r="D77" s="563"/>
      <c r="E77" s="563"/>
      <c r="F77" s="563"/>
      <c r="G77" s="563"/>
      <c r="H77" s="564"/>
      <c r="I77" s="269">
        <f>SUM(I73:I76)</f>
        <v>1188.2150000000001</v>
      </c>
      <c r="K77" s="275"/>
    </row>
    <row r="78" spans="2:11" s="254" customFormat="1">
      <c r="B78" s="260"/>
      <c r="H78" s="261"/>
      <c r="I78" s="262"/>
      <c r="K78" s="275"/>
    </row>
    <row r="79" spans="2:11" s="254" customFormat="1">
      <c r="B79" s="398" t="s">
        <v>133</v>
      </c>
      <c r="C79" s="547"/>
      <c r="D79" s="547"/>
      <c r="E79" s="547"/>
      <c r="F79" s="547"/>
      <c r="G79" s="547"/>
      <c r="H79" s="547"/>
      <c r="I79" s="399"/>
      <c r="K79" s="275"/>
    </row>
    <row r="80" spans="2:11" s="254" customFormat="1">
      <c r="B80" s="260"/>
      <c r="H80" s="261"/>
      <c r="I80" s="262"/>
      <c r="K80" s="275"/>
    </row>
    <row r="81" spans="2:11" s="254" customFormat="1">
      <c r="B81" s="263" t="s">
        <v>75</v>
      </c>
      <c r="C81" s="548" t="s">
        <v>134</v>
      </c>
      <c r="D81" s="549"/>
      <c r="E81" s="549"/>
      <c r="F81" s="549"/>
      <c r="G81" s="550"/>
      <c r="H81" s="115" t="s">
        <v>83</v>
      </c>
      <c r="I81" s="264" t="s">
        <v>77</v>
      </c>
      <c r="K81" s="275"/>
    </row>
    <row r="82" spans="2:11" s="254" customFormat="1">
      <c r="B82" s="265">
        <v>1</v>
      </c>
      <c r="C82" s="390" t="s">
        <v>135</v>
      </c>
      <c r="D82" s="391"/>
      <c r="E82" s="391"/>
      <c r="F82" s="391"/>
      <c r="G82" s="392"/>
      <c r="H82" s="271">
        <v>7.5999999999999998E-2</v>
      </c>
      <c r="I82" s="266">
        <f>$I$86/$H$86*H82</f>
        <v>120.14399999999998</v>
      </c>
      <c r="K82" s="275"/>
    </row>
    <row r="83" spans="2:11" s="254" customFormat="1">
      <c r="B83" s="265">
        <v>2</v>
      </c>
      <c r="C83" s="390" t="s">
        <v>136</v>
      </c>
      <c r="D83" s="391"/>
      <c r="E83" s="391"/>
      <c r="F83" s="391"/>
      <c r="G83" s="392"/>
      <c r="H83" s="271">
        <v>1.6500000000000001E-2</v>
      </c>
      <c r="I83" s="266">
        <f>$I$86/$H$86*H83</f>
        <v>26.083894736842105</v>
      </c>
      <c r="K83" s="275"/>
    </row>
    <row r="84" spans="2:11" s="254" customFormat="1">
      <c r="B84" s="265">
        <v>3</v>
      </c>
      <c r="C84" s="390" t="s">
        <v>137</v>
      </c>
      <c r="D84" s="391"/>
      <c r="E84" s="391"/>
      <c r="F84" s="391"/>
      <c r="G84" s="392"/>
      <c r="H84" s="271">
        <v>0.05</v>
      </c>
      <c r="I84" s="266">
        <f>$I$86/$H$86*H84</f>
        <v>79.042105263157893</v>
      </c>
      <c r="K84" s="275"/>
    </row>
    <row r="85" spans="2:11" s="254" customFormat="1">
      <c r="B85" s="289">
        <v>4</v>
      </c>
      <c r="C85" s="390" t="s">
        <v>138</v>
      </c>
      <c r="D85" s="391"/>
      <c r="E85" s="391"/>
      <c r="F85" s="391"/>
      <c r="G85" s="392"/>
      <c r="H85" s="271">
        <v>0</v>
      </c>
      <c r="I85" s="266">
        <f>$I$86/$H$86*H85</f>
        <v>0</v>
      </c>
      <c r="K85" s="275"/>
    </row>
    <row r="86" spans="2:11" s="254" customFormat="1">
      <c r="B86" s="393" t="s">
        <v>80</v>
      </c>
      <c r="C86" s="554"/>
      <c r="D86" s="554"/>
      <c r="E86" s="554"/>
      <c r="F86" s="554"/>
      <c r="G86" s="555"/>
      <c r="H86" s="127">
        <f>SUM(H82:H85)</f>
        <v>0.14250000000000002</v>
      </c>
      <c r="I86" s="269">
        <f>ROUND(((I59+I68)*$H$86)/(1-$H$86),2)</f>
        <v>225.27</v>
      </c>
      <c r="K86" s="275"/>
    </row>
    <row r="87" spans="2:11" s="254" customFormat="1">
      <c r="B87" s="260"/>
      <c r="H87" s="261"/>
      <c r="I87" s="262"/>
      <c r="K87" s="275"/>
    </row>
    <row r="88" spans="2:11" s="254" customFormat="1">
      <c r="B88" s="263" t="s">
        <v>75</v>
      </c>
      <c r="C88" s="548" t="s">
        <v>139</v>
      </c>
      <c r="D88" s="549"/>
      <c r="E88" s="549"/>
      <c r="F88" s="549"/>
      <c r="G88" s="550"/>
      <c r="H88" s="115" t="s">
        <v>83</v>
      </c>
      <c r="I88" s="264" t="s">
        <v>77</v>
      </c>
      <c r="K88" s="275"/>
    </row>
    <row r="89" spans="2:11" s="254" customFormat="1">
      <c r="B89" s="265">
        <v>1</v>
      </c>
      <c r="C89" s="390" t="s">
        <v>135</v>
      </c>
      <c r="D89" s="391"/>
      <c r="E89" s="391"/>
      <c r="F89" s="391"/>
      <c r="G89" s="392"/>
      <c r="H89" s="271">
        <v>7.5999999999999998E-2</v>
      </c>
      <c r="I89" s="266">
        <f>$I$93/$H$93*H89</f>
        <v>105.31199999999998</v>
      </c>
      <c r="K89" s="275"/>
    </row>
    <row r="90" spans="2:11" s="254" customFormat="1">
      <c r="B90" s="265">
        <v>2</v>
      </c>
      <c r="C90" s="390" t="s">
        <v>136</v>
      </c>
      <c r="D90" s="391"/>
      <c r="E90" s="391"/>
      <c r="F90" s="391"/>
      <c r="G90" s="392"/>
      <c r="H90" s="271">
        <v>1.6500000000000001E-2</v>
      </c>
      <c r="I90" s="266">
        <f>$I$93/$H$93*H90</f>
        <v>22.863789473684207</v>
      </c>
      <c r="K90" s="275"/>
    </row>
    <row r="91" spans="2:11" s="254" customFormat="1">
      <c r="B91" s="265">
        <v>3</v>
      </c>
      <c r="C91" s="390" t="s">
        <v>137</v>
      </c>
      <c r="D91" s="391"/>
      <c r="E91" s="391"/>
      <c r="F91" s="391"/>
      <c r="G91" s="392"/>
      <c r="H91" s="271">
        <v>0.05</v>
      </c>
      <c r="I91" s="266">
        <f>$I$93/$H$93*H91</f>
        <v>69.284210526315789</v>
      </c>
      <c r="K91" s="275"/>
    </row>
    <row r="92" spans="2:11" s="254" customFormat="1">
      <c r="B92" s="289">
        <v>4</v>
      </c>
      <c r="C92" s="390" t="s">
        <v>138</v>
      </c>
      <c r="D92" s="391"/>
      <c r="E92" s="391"/>
      <c r="F92" s="391"/>
      <c r="G92" s="392"/>
      <c r="H92" s="271">
        <v>0</v>
      </c>
      <c r="I92" s="266">
        <f>$I$93/$H$93*H92</f>
        <v>0</v>
      </c>
      <c r="K92" s="275"/>
    </row>
    <row r="93" spans="2:11" s="254" customFormat="1">
      <c r="B93" s="393" t="s">
        <v>80</v>
      </c>
      <c r="C93" s="554"/>
      <c r="D93" s="554"/>
      <c r="E93" s="554"/>
      <c r="F93" s="554"/>
      <c r="G93" s="555"/>
      <c r="H93" s="127">
        <f>SUM(H89:H92)</f>
        <v>0.14250000000000002</v>
      </c>
      <c r="I93" s="269">
        <f>ROUND(((I77)*$H$86)/(1-$H$86),2)</f>
        <v>197.46</v>
      </c>
      <c r="K93" s="275"/>
    </row>
    <row r="94" spans="2:11" s="254" customFormat="1">
      <c r="B94" s="260"/>
      <c r="H94" s="261"/>
      <c r="I94" s="262"/>
      <c r="K94" s="275"/>
    </row>
    <row r="95" spans="2:11" s="254" customFormat="1">
      <c r="B95" s="393" t="s">
        <v>140</v>
      </c>
      <c r="C95" s="554"/>
      <c r="D95" s="554"/>
      <c r="E95" s="554"/>
      <c r="F95" s="554"/>
      <c r="G95" s="554"/>
      <c r="H95" s="555"/>
      <c r="I95" s="277">
        <f>I93+I86</f>
        <v>422.73</v>
      </c>
      <c r="K95" s="275"/>
    </row>
    <row r="96" spans="2:11" s="254" customFormat="1">
      <c r="B96" s="260"/>
      <c r="H96" s="261"/>
      <c r="I96" s="262"/>
      <c r="K96" s="275"/>
    </row>
    <row r="97" spans="2:13" s="254" customFormat="1">
      <c r="B97" s="398" t="s">
        <v>36</v>
      </c>
      <c r="C97" s="547"/>
      <c r="D97" s="547"/>
      <c r="E97" s="547"/>
      <c r="F97" s="547"/>
      <c r="G97" s="547"/>
      <c r="H97" s="547"/>
      <c r="I97" s="399"/>
      <c r="K97" s="275"/>
    </row>
    <row r="98" spans="2:13" s="254" customFormat="1">
      <c r="B98" s="260"/>
      <c r="H98" s="261"/>
      <c r="I98" s="262"/>
      <c r="K98" s="275"/>
    </row>
    <row r="99" spans="2:13" s="254" customFormat="1">
      <c r="B99" s="393" t="s">
        <v>141</v>
      </c>
      <c r="C99" s="554"/>
      <c r="D99" s="554"/>
      <c r="E99" s="554"/>
      <c r="F99" s="554"/>
      <c r="G99" s="554"/>
      <c r="H99" s="555"/>
      <c r="I99" s="269">
        <f>I59+I68+I86</f>
        <v>1580.8717258666668</v>
      </c>
      <c r="K99" s="275"/>
      <c r="M99" s="290"/>
    </row>
    <row r="100" spans="2:13" s="254" customFormat="1">
      <c r="B100" s="291"/>
      <c r="C100" s="292"/>
      <c r="D100" s="292"/>
      <c r="E100" s="292"/>
      <c r="F100" s="292"/>
      <c r="G100" s="292"/>
      <c r="H100" s="293"/>
      <c r="I100" s="294"/>
      <c r="K100" s="275"/>
    </row>
    <row r="101" spans="2:13" s="254" customFormat="1">
      <c r="B101" s="393" t="s">
        <v>142</v>
      </c>
      <c r="C101" s="554"/>
      <c r="D101" s="554"/>
      <c r="E101" s="554"/>
      <c r="F101" s="554"/>
      <c r="G101" s="554"/>
      <c r="H101" s="555"/>
      <c r="I101" s="269">
        <f>I77+I93</f>
        <v>1385.6750000000002</v>
      </c>
      <c r="K101" s="275"/>
    </row>
    <row r="102" spans="2:13" s="254" customFormat="1">
      <c r="B102" s="291"/>
      <c r="C102" s="292"/>
      <c r="D102" s="292"/>
      <c r="E102" s="292"/>
      <c r="F102" s="292"/>
      <c r="G102" s="292"/>
      <c r="H102" s="293"/>
      <c r="I102" s="294"/>
      <c r="K102" s="275"/>
    </row>
    <row r="103" spans="2:13" s="254" customFormat="1" ht="15.75" thickBot="1">
      <c r="B103" s="387" t="s">
        <v>143</v>
      </c>
      <c r="C103" s="388"/>
      <c r="D103" s="388"/>
      <c r="E103" s="388"/>
      <c r="F103" s="388"/>
      <c r="G103" s="388"/>
      <c r="H103" s="389"/>
      <c r="I103" s="295">
        <f>I59+I68+I77+I95</f>
        <v>2966.5467258666672</v>
      </c>
    </row>
    <row r="105" spans="2:13">
      <c r="B105" s="397"/>
      <c r="C105" s="397"/>
      <c r="D105" s="397"/>
      <c r="E105" s="397"/>
      <c r="F105" s="397"/>
      <c r="G105" s="397"/>
    </row>
    <row r="106" spans="2:13">
      <c r="E106" s="394"/>
      <c r="F106" s="394"/>
      <c r="G106" s="394"/>
      <c r="H106" s="394"/>
      <c r="I106" s="394"/>
    </row>
    <row r="107" spans="2:13" ht="18">
      <c r="E107" s="395"/>
      <c r="F107" s="395"/>
      <c r="G107" s="396"/>
      <c r="H107" s="396"/>
      <c r="I107" s="396"/>
    </row>
  </sheetData>
  <sheetProtection selectLockedCells="1"/>
  <mergeCells count="85">
    <mergeCell ref="B1:I1"/>
    <mergeCell ref="C15:H15"/>
    <mergeCell ref="B18:H18"/>
    <mergeCell ref="C20:G20"/>
    <mergeCell ref="B7:I7"/>
    <mergeCell ref="B8:I8"/>
    <mergeCell ref="B10:H10"/>
    <mergeCell ref="B12:I12"/>
    <mergeCell ref="C14:H14"/>
    <mergeCell ref="B2:I2"/>
    <mergeCell ref="B4:I4"/>
    <mergeCell ref="B5:I5"/>
    <mergeCell ref="B3:I3"/>
    <mergeCell ref="B6:I6"/>
    <mergeCell ref="C16:G16"/>
    <mergeCell ref="C17:H17"/>
    <mergeCell ref="C22:G22"/>
    <mergeCell ref="C23:G23"/>
    <mergeCell ref="C24:G24"/>
    <mergeCell ref="C25:G25"/>
    <mergeCell ref="C21:G21"/>
    <mergeCell ref="C26:G26"/>
    <mergeCell ref="C28:G28"/>
    <mergeCell ref="B29:G29"/>
    <mergeCell ref="C31:G31"/>
    <mergeCell ref="C32:G32"/>
    <mergeCell ref="C33:G33"/>
    <mergeCell ref="C40:G40"/>
    <mergeCell ref="C41:G41"/>
    <mergeCell ref="C42:G42"/>
    <mergeCell ref="B43:G43"/>
    <mergeCell ref="C34:G34"/>
    <mergeCell ref="B35:G35"/>
    <mergeCell ref="C37:G37"/>
    <mergeCell ref="C38:G38"/>
    <mergeCell ref="C39:G39"/>
    <mergeCell ref="C45:G45"/>
    <mergeCell ref="C46:H46"/>
    <mergeCell ref="C47:H47"/>
    <mergeCell ref="C48:H48"/>
    <mergeCell ref="C49:H49"/>
    <mergeCell ref="B59:H59"/>
    <mergeCell ref="B61:I61"/>
    <mergeCell ref="C63:H63"/>
    <mergeCell ref="C50:H50"/>
    <mergeCell ref="C51:H51"/>
    <mergeCell ref="B52:G52"/>
    <mergeCell ref="C54:H54"/>
    <mergeCell ref="C55:H55"/>
    <mergeCell ref="B57:H57"/>
    <mergeCell ref="C56:H56"/>
    <mergeCell ref="C64:G64"/>
    <mergeCell ref="C65:G65"/>
    <mergeCell ref="C66:G66"/>
    <mergeCell ref="C67:G67"/>
    <mergeCell ref="C74:G74"/>
    <mergeCell ref="C73:G73"/>
    <mergeCell ref="C82:G82"/>
    <mergeCell ref="B101:H101"/>
    <mergeCell ref="C83:G83"/>
    <mergeCell ref="C84:G84"/>
    <mergeCell ref="B86:G86"/>
    <mergeCell ref="C88:G88"/>
    <mergeCell ref="C89:G89"/>
    <mergeCell ref="C90:G90"/>
    <mergeCell ref="B97:I97"/>
    <mergeCell ref="B99:H99"/>
    <mergeCell ref="B77:H77"/>
    <mergeCell ref="B79:I79"/>
    <mergeCell ref="C81:G81"/>
    <mergeCell ref="B68:H68"/>
    <mergeCell ref="B70:I70"/>
    <mergeCell ref="C76:G76"/>
    <mergeCell ref="C75:G75"/>
    <mergeCell ref="E106:F106"/>
    <mergeCell ref="G106:I106"/>
    <mergeCell ref="E107:F107"/>
    <mergeCell ref="G107:I107"/>
    <mergeCell ref="B105:G105"/>
    <mergeCell ref="B103:H103"/>
    <mergeCell ref="C85:G85"/>
    <mergeCell ref="C92:G92"/>
    <mergeCell ref="C91:G91"/>
    <mergeCell ref="B93:G93"/>
    <mergeCell ref="B95:H95"/>
  </mergeCells>
  <pageMargins left="0.511811024" right="0.511811024" top="0.78740157499999996" bottom="0.78740157499999996" header="0.31496062000000002" footer="0.31496062000000002"/>
  <pageSetup paperSize="9" scale="75" orientation="portrait" r:id="rId1"/>
  <rowBreaks count="1" manualBreakCount="1">
    <brk id="60"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M109"/>
  <sheetViews>
    <sheetView zoomScaleNormal="100" zoomScaleSheetLayoutView="100" workbookViewId="0">
      <selection activeCell="D26" sqref="D26"/>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11" max="11" width="10" customWidth="1"/>
  </cols>
  <sheetData>
    <row r="1" spans="2:9" ht="41.25" customHeight="1" thickBot="1">
      <c r="B1" s="432" t="s">
        <v>144</v>
      </c>
      <c r="C1" s="432"/>
      <c r="D1" s="432"/>
      <c r="E1" s="432"/>
      <c r="F1" s="432"/>
      <c r="G1" s="432"/>
      <c r="H1" s="432"/>
      <c r="I1" s="432"/>
    </row>
    <row r="2" spans="2:9" ht="30" customHeight="1">
      <c r="B2" s="565" t="s">
        <v>67</v>
      </c>
      <c r="C2" s="566"/>
      <c r="D2" s="566"/>
      <c r="E2" s="566"/>
      <c r="F2" s="566"/>
      <c r="G2" s="566"/>
      <c r="H2" s="566"/>
      <c r="I2" s="567"/>
    </row>
    <row r="3" spans="2:9">
      <c r="B3" s="85"/>
      <c r="C3" s="85"/>
      <c r="D3" s="85"/>
      <c r="E3" s="85"/>
      <c r="F3" s="85"/>
      <c r="G3" s="85"/>
      <c r="H3" s="86"/>
      <c r="I3" s="85"/>
    </row>
    <row r="4" spans="2:9">
      <c r="B4" s="88"/>
      <c r="C4" s="88"/>
      <c r="D4" s="88"/>
      <c r="E4" s="88"/>
      <c r="F4" s="88"/>
      <c r="G4" s="88"/>
      <c r="H4" s="89"/>
      <c r="I4" s="88"/>
    </row>
    <row r="5" spans="2:9">
      <c r="B5" s="433" t="s">
        <v>68</v>
      </c>
      <c r="C5" s="433"/>
      <c r="D5" s="433"/>
      <c r="E5" s="433"/>
      <c r="F5" s="433"/>
      <c r="G5" s="433"/>
      <c r="H5" s="433"/>
      <c r="I5" s="433"/>
    </row>
    <row r="6" spans="2:9">
      <c r="B6" s="433" t="s">
        <v>145</v>
      </c>
      <c r="C6" s="433"/>
      <c r="D6" s="433"/>
      <c r="E6" s="433"/>
      <c r="F6" s="433"/>
      <c r="G6" s="433"/>
      <c r="H6" s="433"/>
      <c r="I6" s="433"/>
    </row>
    <row r="7" spans="2:9">
      <c r="B7" s="434" t="s">
        <v>146</v>
      </c>
      <c r="C7" s="435"/>
      <c r="D7" s="435"/>
      <c r="E7" s="435"/>
      <c r="F7" s="435"/>
      <c r="G7" s="435"/>
      <c r="H7" s="435"/>
      <c r="I7" s="436"/>
    </row>
    <row r="8" spans="2:9">
      <c r="B8" s="568" t="s">
        <v>71</v>
      </c>
      <c r="C8" s="569"/>
      <c r="D8" s="569"/>
      <c r="E8" s="569"/>
      <c r="F8" s="569"/>
      <c r="G8" s="569"/>
      <c r="H8" s="569"/>
      <c r="I8" s="570"/>
    </row>
    <row r="9" spans="2:9">
      <c r="B9" s="437" t="s">
        <v>72</v>
      </c>
      <c r="C9" s="437"/>
      <c r="D9" s="437"/>
      <c r="E9" s="437"/>
      <c r="F9" s="437"/>
      <c r="G9" s="437"/>
      <c r="H9" s="437"/>
      <c r="I9" s="437"/>
    </row>
    <row r="10" spans="2:9">
      <c r="B10" s="88"/>
      <c r="C10" s="88"/>
      <c r="D10" s="88"/>
      <c r="E10" s="88"/>
      <c r="F10" s="88"/>
      <c r="G10" s="88"/>
      <c r="H10" s="89"/>
      <c r="I10" s="88"/>
    </row>
    <row r="11" spans="2:9">
      <c r="B11" s="568" t="s">
        <v>147</v>
      </c>
      <c r="C11" s="569"/>
      <c r="D11" s="569"/>
      <c r="E11" s="569"/>
      <c r="F11" s="569"/>
      <c r="G11" s="569"/>
      <c r="H11" s="570"/>
      <c r="I11" s="90">
        <v>0</v>
      </c>
    </row>
    <row r="12" spans="2:9">
      <c r="B12" s="84"/>
      <c r="C12" s="85"/>
      <c r="D12" s="85"/>
      <c r="E12" s="85"/>
      <c r="F12" s="85"/>
      <c r="G12" s="85"/>
      <c r="H12" s="86"/>
      <c r="I12" s="87"/>
    </row>
    <row r="13" spans="2:9">
      <c r="B13" s="428" t="s">
        <v>74</v>
      </c>
      <c r="C13" s="428"/>
      <c r="D13" s="428"/>
      <c r="E13" s="428"/>
      <c r="F13" s="428"/>
      <c r="G13" s="428"/>
      <c r="H13" s="428"/>
      <c r="I13" s="428"/>
    </row>
    <row r="14" spans="2:9">
      <c r="B14" s="84"/>
      <c r="C14" s="85"/>
      <c r="D14" s="85"/>
      <c r="E14" s="85"/>
      <c r="F14" s="85"/>
      <c r="G14" s="85"/>
      <c r="H14" s="86"/>
      <c r="I14" s="87"/>
    </row>
    <row r="15" spans="2:9">
      <c r="B15" s="109" t="s">
        <v>75</v>
      </c>
      <c r="C15" s="472" t="s">
        <v>76</v>
      </c>
      <c r="D15" s="473"/>
      <c r="E15" s="473"/>
      <c r="F15" s="473"/>
      <c r="G15" s="473"/>
      <c r="H15" s="474"/>
      <c r="I15" s="107" t="s">
        <v>77</v>
      </c>
    </row>
    <row r="16" spans="2:9">
      <c r="B16" s="91">
        <v>1</v>
      </c>
      <c r="C16" s="571" t="s">
        <v>78</v>
      </c>
      <c r="D16" s="572"/>
      <c r="E16" s="572"/>
      <c r="F16" s="572"/>
      <c r="G16" s="572"/>
      <c r="H16" s="573"/>
      <c r="I16" s="94">
        <f>I11</f>
        <v>0</v>
      </c>
    </row>
    <row r="17" spans="2:9">
      <c r="B17" s="568" t="s">
        <v>80</v>
      </c>
      <c r="C17" s="569"/>
      <c r="D17" s="569"/>
      <c r="E17" s="569"/>
      <c r="F17" s="569"/>
      <c r="G17" s="569"/>
      <c r="H17" s="570"/>
      <c r="I17" s="101">
        <f>SUM(I16:I16)</f>
        <v>0</v>
      </c>
    </row>
    <row r="18" spans="2:9">
      <c r="B18" s="84"/>
      <c r="C18" s="85"/>
      <c r="D18" s="85"/>
      <c r="E18" s="85"/>
      <c r="F18" s="85"/>
      <c r="G18" s="85"/>
      <c r="H18" s="86"/>
      <c r="I18" s="87"/>
    </row>
    <row r="19" spans="2:9">
      <c r="B19" s="109" t="s">
        <v>81</v>
      </c>
      <c r="C19" s="472" t="s">
        <v>82</v>
      </c>
      <c r="D19" s="473"/>
      <c r="E19" s="473"/>
      <c r="F19" s="473"/>
      <c r="G19" s="474"/>
      <c r="H19" s="108" t="s">
        <v>83</v>
      </c>
      <c r="I19" s="107" t="s">
        <v>77</v>
      </c>
    </row>
    <row r="20" spans="2:9">
      <c r="B20" s="91">
        <v>1</v>
      </c>
      <c r="C20" s="458" t="s">
        <v>84</v>
      </c>
      <c r="D20" s="459"/>
      <c r="E20" s="459"/>
      <c r="F20" s="459"/>
      <c r="G20" s="460"/>
      <c r="H20" s="251">
        <v>0.2</v>
      </c>
      <c r="I20" s="94">
        <f>ROUND($I$17*H20,2)</f>
        <v>0</v>
      </c>
    </row>
    <row r="21" spans="2:9">
      <c r="B21" s="91">
        <v>2</v>
      </c>
      <c r="C21" s="458" t="s">
        <v>85</v>
      </c>
      <c r="D21" s="459"/>
      <c r="E21" s="459"/>
      <c r="F21" s="459"/>
      <c r="G21" s="460"/>
      <c r="H21" s="251">
        <v>1.4999999999999999E-2</v>
      </c>
      <c r="I21" s="94">
        <f t="shared" ref="I21:I27" si="0">ROUND($I$17*H21,2)</f>
        <v>0</v>
      </c>
    </row>
    <row r="22" spans="2:9">
      <c r="B22" s="91">
        <v>3</v>
      </c>
      <c r="C22" s="458" t="s">
        <v>86</v>
      </c>
      <c r="D22" s="459"/>
      <c r="E22" s="459"/>
      <c r="F22" s="459"/>
      <c r="G22" s="460"/>
      <c r="H22" s="251">
        <v>0.01</v>
      </c>
      <c r="I22" s="94">
        <f t="shared" si="0"/>
        <v>0</v>
      </c>
    </row>
    <row r="23" spans="2:9">
      <c r="B23" s="91">
        <v>4</v>
      </c>
      <c r="C23" s="458" t="s">
        <v>87</v>
      </c>
      <c r="D23" s="459"/>
      <c r="E23" s="459"/>
      <c r="F23" s="459"/>
      <c r="G23" s="460"/>
      <c r="H23" s="251">
        <v>2E-3</v>
      </c>
      <c r="I23" s="94">
        <f t="shared" si="0"/>
        <v>0</v>
      </c>
    </row>
    <row r="24" spans="2:9">
      <c r="B24" s="91">
        <v>5</v>
      </c>
      <c r="C24" s="458" t="s">
        <v>88</v>
      </c>
      <c r="D24" s="459"/>
      <c r="E24" s="459"/>
      <c r="F24" s="459"/>
      <c r="G24" s="460"/>
      <c r="H24" s="251">
        <v>2.5000000000000001E-2</v>
      </c>
      <c r="I24" s="94">
        <f t="shared" si="0"/>
        <v>0</v>
      </c>
    </row>
    <row r="25" spans="2:9">
      <c r="B25" s="91">
        <v>6</v>
      </c>
      <c r="C25" s="458" t="s">
        <v>89</v>
      </c>
      <c r="D25" s="459"/>
      <c r="E25" s="459"/>
      <c r="F25" s="459"/>
      <c r="G25" s="460"/>
      <c r="H25" s="251">
        <v>0.08</v>
      </c>
      <c r="I25" s="94">
        <f t="shared" si="0"/>
        <v>0</v>
      </c>
    </row>
    <row r="26" spans="2:9">
      <c r="B26" s="91">
        <v>7</v>
      </c>
      <c r="C26" s="92" t="s">
        <v>90</v>
      </c>
      <c r="D26" s="302" t="s">
        <v>91</v>
      </c>
      <c r="E26" s="303">
        <v>0.03</v>
      </c>
      <c r="F26" s="302" t="s">
        <v>92</v>
      </c>
      <c r="G26" s="304">
        <v>1</v>
      </c>
      <c r="H26" s="251">
        <f>E26*G26</f>
        <v>0.03</v>
      </c>
      <c r="I26" s="104">
        <f t="shared" si="0"/>
        <v>0</v>
      </c>
    </row>
    <row r="27" spans="2:9">
      <c r="B27" s="91">
        <v>8</v>
      </c>
      <c r="C27" s="458" t="s">
        <v>93</v>
      </c>
      <c r="D27" s="459"/>
      <c r="E27" s="459"/>
      <c r="F27" s="459"/>
      <c r="G27" s="460"/>
      <c r="H27" s="251">
        <v>6.0000000000000001E-3</v>
      </c>
      <c r="I27" s="94">
        <f t="shared" si="0"/>
        <v>0</v>
      </c>
    </row>
    <row r="28" spans="2:9">
      <c r="B28" s="568" t="s">
        <v>80</v>
      </c>
      <c r="C28" s="569"/>
      <c r="D28" s="569"/>
      <c r="E28" s="569"/>
      <c r="F28" s="569"/>
      <c r="G28" s="570"/>
      <c r="H28" s="93">
        <f>SUM(H20:H27)</f>
        <v>0.3680000000000001</v>
      </c>
      <c r="I28" s="101">
        <f>SUM(I20:I27)</f>
        <v>0</v>
      </c>
    </row>
    <row r="29" spans="2:9">
      <c r="B29" s="84"/>
      <c r="C29" s="85"/>
      <c r="D29" s="85"/>
      <c r="E29" s="85"/>
      <c r="F29" s="85"/>
      <c r="G29" s="85"/>
      <c r="H29" s="86"/>
      <c r="I29" s="87"/>
    </row>
    <row r="30" spans="2:9">
      <c r="B30" s="109" t="s">
        <v>94</v>
      </c>
      <c r="C30" s="472" t="s">
        <v>95</v>
      </c>
      <c r="D30" s="473"/>
      <c r="E30" s="473"/>
      <c r="F30" s="473"/>
      <c r="G30" s="474"/>
      <c r="H30" s="108" t="s">
        <v>83</v>
      </c>
      <c r="I30" s="107" t="s">
        <v>77</v>
      </c>
    </row>
    <row r="31" spans="2:9">
      <c r="B31" s="91">
        <v>1</v>
      </c>
      <c r="C31" s="458" t="s">
        <v>96</v>
      </c>
      <c r="D31" s="459"/>
      <c r="E31" s="459"/>
      <c r="F31" s="459"/>
      <c r="G31" s="460"/>
      <c r="H31" s="225">
        <f>ROUND(1/12,4)</f>
        <v>8.3299999999999999E-2</v>
      </c>
      <c r="I31" s="94">
        <f>ROUND($I$17*H31,2)</f>
        <v>0</v>
      </c>
    </row>
    <row r="32" spans="2:9">
      <c r="B32" s="91">
        <v>2</v>
      </c>
      <c r="C32" s="458" t="s">
        <v>97</v>
      </c>
      <c r="D32" s="459"/>
      <c r="E32" s="459"/>
      <c r="F32" s="459"/>
      <c r="G32" s="460"/>
      <c r="H32" s="226">
        <v>3.0249999999999999E-2</v>
      </c>
      <c r="I32" s="94">
        <f>ROUND($I$17*H32,2)</f>
        <v>0</v>
      </c>
    </row>
    <row r="33" spans="2:11">
      <c r="B33" s="91">
        <v>3</v>
      </c>
      <c r="C33" s="458" t="s">
        <v>98</v>
      </c>
      <c r="D33" s="459"/>
      <c r="E33" s="459"/>
      <c r="F33" s="459"/>
      <c r="G33" s="460"/>
      <c r="H33" s="225">
        <f>ROUND((H31+H32)*H28,4)</f>
        <v>4.1799999999999997E-2</v>
      </c>
      <c r="I33" s="94">
        <f>ROUND($I$17*H33,2)</f>
        <v>0</v>
      </c>
      <c r="K33" s="7"/>
    </row>
    <row r="34" spans="2:11">
      <c r="B34" s="568" t="s">
        <v>80</v>
      </c>
      <c r="C34" s="569"/>
      <c r="D34" s="569"/>
      <c r="E34" s="569"/>
      <c r="F34" s="569"/>
      <c r="G34" s="570"/>
      <c r="H34" s="93">
        <f>SUM(H31:H33)</f>
        <v>0.15534999999999999</v>
      </c>
      <c r="I34" s="101">
        <f>SUM(I31:I33)</f>
        <v>0</v>
      </c>
    </row>
    <row r="35" spans="2:11">
      <c r="B35" s="84"/>
      <c r="C35" s="85"/>
      <c r="D35" s="85"/>
      <c r="E35" s="85"/>
      <c r="F35" s="85"/>
      <c r="G35" s="85"/>
      <c r="H35" s="86"/>
      <c r="I35" s="87"/>
    </row>
    <row r="36" spans="2:11">
      <c r="B36" s="109" t="s">
        <v>99</v>
      </c>
      <c r="C36" s="472" t="s">
        <v>100</v>
      </c>
      <c r="D36" s="473"/>
      <c r="E36" s="473"/>
      <c r="F36" s="473"/>
      <c r="G36" s="474"/>
      <c r="H36" s="108" t="s">
        <v>83</v>
      </c>
      <c r="I36" s="107" t="s">
        <v>77</v>
      </c>
    </row>
    <row r="37" spans="2:11">
      <c r="B37" s="91">
        <v>1</v>
      </c>
      <c r="C37" s="465" t="s">
        <v>101</v>
      </c>
      <c r="D37" s="466"/>
      <c r="E37" s="466"/>
      <c r="F37" s="466"/>
      <c r="G37" s="475"/>
      <c r="H37" s="227">
        <f>(1+(1/12)+(1/12)+(1/12/3))/12*0.05</f>
        <v>4.9768518518518512E-3</v>
      </c>
      <c r="I37" s="94">
        <f>ROUND($I$17*H37,2)</f>
        <v>0</v>
      </c>
      <c r="K37" s="8"/>
    </row>
    <row r="38" spans="2:11">
      <c r="B38" s="91">
        <v>2</v>
      </c>
      <c r="C38" s="465" t="s">
        <v>102</v>
      </c>
      <c r="D38" s="466"/>
      <c r="E38" s="466"/>
      <c r="F38" s="466"/>
      <c r="G38" s="475"/>
      <c r="H38" s="227">
        <f>H37*0.08</f>
        <v>3.9814814814814812E-4</v>
      </c>
      <c r="I38" s="94">
        <f>ROUND($I$17*H38,2)</f>
        <v>0</v>
      </c>
      <c r="K38" s="8"/>
    </row>
    <row r="39" spans="2:11">
      <c r="B39" s="91">
        <v>3</v>
      </c>
      <c r="C39" s="465" t="s">
        <v>103</v>
      </c>
      <c r="D39" s="466"/>
      <c r="E39" s="466"/>
      <c r="F39" s="466"/>
      <c r="G39" s="475"/>
      <c r="H39" s="228">
        <f>(7/30/12)*0.9</f>
        <v>1.7500000000000002E-2</v>
      </c>
      <c r="I39" s="94">
        <f>ROUND($I$16*H39,2)</f>
        <v>0</v>
      </c>
      <c r="K39" s="8"/>
    </row>
    <row r="40" spans="2:11">
      <c r="B40" s="91">
        <v>4</v>
      </c>
      <c r="C40" s="465" t="s">
        <v>104</v>
      </c>
      <c r="D40" s="466"/>
      <c r="E40" s="466"/>
      <c r="F40" s="466"/>
      <c r="G40" s="475"/>
      <c r="H40" s="228">
        <f>H39*$H$28</f>
        <v>6.4400000000000021E-3</v>
      </c>
      <c r="I40" s="94">
        <f>ROUND($I$17*H40,2)</f>
        <v>0</v>
      </c>
      <c r="K40" s="8"/>
    </row>
    <row r="41" spans="2:11">
      <c r="B41" s="91">
        <v>5</v>
      </c>
      <c r="C41" s="465" t="s">
        <v>105</v>
      </c>
      <c r="D41" s="466"/>
      <c r="E41" s="466"/>
      <c r="F41" s="466"/>
      <c r="G41" s="475"/>
      <c r="H41" s="228">
        <v>0.04</v>
      </c>
      <c r="I41" s="94">
        <f>ROUND($I$17*H41,2)</f>
        <v>0</v>
      </c>
      <c r="K41" s="8"/>
    </row>
    <row r="42" spans="2:11">
      <c r="B42" s="568" t="s">
        <v>80</v>
      </c>
      <c r="C42" s="569"/>
      <c r="D42" s="569"/>
      <c r="E42" s="569"/>
      <c r="F42" s="569"/>
      <c r="G42" s="570"/>
      <c r="H42" s="93">
        <f>SUM(H37:H41)</f>
        <v>6.9315000000000002E-2</v>
      </c>
      <c r="I42" s="101">
        <f>SUM(I37:I41)</f>
        <v>0</v>
      </c>
      <c r="K42" s="8"/>
    </row>
    <row r="43" spans="2:11">
      <c r="B43" s="85"/>
      <c r="C43" s="85"/>
      <c r="D43" s="85"/>
      <c r="E43" s="85"/>
      <c r="F43" s="85"/>
      <c r="G43" s="85"/>
      <c r="H43" s="86"/>
      <c r="I43" s="87"/>
      <c r="K43" s="8"/>
    </row>
    <row r="44" spans="2:11">
      <c r="B44" s="109" t="s">
        <v>106</v>
      </c>
      <c r="C44" s="472" t="s">
        <v>107</v>
      </c>
      <c r="D44" s="473"/>
      <c r="E44" s="473"/>
      <c r="F44" s="473"/>
      <c r="G44" s="474"/>
      <c r="H44" s="108"/>
      <c r="I44" s="107" t="s">
        <v>77</v>
      </c>
      <c r="K44" s="8"/>
    </row>
    <row r="45" spans="2:11">
      <c r="B45" s="24">
        <v>1</v>
      </c>
      <c r="C45" s="465" t="s">
        <v>108</v>
      </c>
      <c r="D45" s="466"/>
      <c r="E45" s="466"/>
      <c r="F45" s="466"/>
      <c r="G45" s="466"/>
      <c r="H45" s="475"/>
      <c r="I45" s="229">
        <f>ROUND((I17*9.075%)+(I17*(9.075%)*H28),2)</f>
        <v>0</v>
      </c>
      <c r="K45" s="8"/>
    </row>
    <row r="46" spans="2:11">
      <c r="B46" s="98">
        <v>2</v>
      </c>
      <c r="C46" s="574" t="s">
        <v>109</v>
      </c>
      <c r="D46" s="575"/>
      <c r="E46" s="575"/>
      <c r="F46" s="575"/>
      <c r="G46" s="575"/>
      <c r="H46" s="576"/>
      <c r="I46" s="229">
        <f>ROUND((1/30)/12*(I17+I34+I54+I45+I42+I28),2)</f>
        <v>0</v>
      </c>
      <c r="K46" s="8"/>
    </row>
    <row r="47" spans="2:11">
      <c r="B47" s="98">
        <v>3</v>
      </c>
      <c r="C47" s="574" t="s">
        <v>110</v>
      </c>
      <c r="D47" s="575"/>
      <c r="E47" s="575"/>
      <c r="F47" s="575"/>
      <c r="G47" s="575"/>
      <c r="H47" s="576"/>
      <c r="I47" s="229">
        <f>ROUND((((1/30)*5)/12*(I17+I34+I42+I45+I54+I28)*0.015),2)</f>
        <v>0</v>
      </c>
      <c r="K47" s="8"/>
    </row>
    <row r="48" spans="2:11">
      <c r="B48" s="98">
        <v>4</v>
      </c>
      <c r="C48" s="574" t="s">
        <v>111</v>
      </c>
      <c r="D48" s="575"/>
      <c r="E48" s="575"/>
      <c r="F48" s="575"/>
      <c r="G48" s="575"/>
      <c r="H48" s="576"/>
      <c r="I48" s="229">
        <f>ROUND((((($I$17+I34+I42+I45+I54+I28)/30*0.69)/12)),2)</f>
        <v>0</v>
      </c>
      <c r="K48" s="8"/>
    </row>
    <row r="49" spans="2:11">
      <c r="B49" s="98">
        <v>5</v>
      </c>
      <c r="C49" s="574" t="s">
        <v>112</v>
      </c>
      <c r="D49" s="575"/>
      <c r="E49" s="575"/>
      <c r="F49" s="575"/>
      <c r="G49" s="575"/>
      <c r="H49" s="576"/>
      <c r="I49" s="229">
        <f>ROUND((((($I$17*0.121)+(H28)*(I17*0.121))*(4/12)))*0.02,2) + ((H25*I17 + H28*I31 + I54 + I42)*4/12)*0.02</f>
        <v>0</v>
      </c>
      <c r="K49" s="8"/>
    </row>
    <row r="50" spans="2:11">
      <c r="B50" s="98">
        <v>6</v>
      </c>
      <c r="C50" s="574" t="s">
        <v>113</v>
      </c>
      <c r="D50" s="575"/>
      <c r="E50" s="575"/>
      <c r="F50" s="575"/>
      <c r="G50" s="575"/>
      <c r="H50" s="576"/>
      <c r="I50" s="229">
        <f>ROUND(((3/30)/12)*(I17+I34+I42+I45+I54+I28),2)</f>
        <v>0</v>
      </c>
      <c r="K50" s="8"/>
    </row>
    <row r="51" spans="2:11">
      <c r="B51" s="577" t="s">
        <v>80</v>
      </c>
      <c r="C51" s="578"/>
      <c r="D51" s="578"/>
      <c r="E51" s="578"/>
      <c r="F51" s="578"/>
      <c r="G51" s="578"/>
      <c r="H51" s="579"/>
      <c r="I51" s="102">
        <f>ROUND(SUM(I45:I50),2)</f>
        <v>0</v>
      </c>
      <c r="K51" s="8"/>
    </row>
    <row r="52" spans="2:11">
      <c r="B52" s="84"/>
      <c r="C52" s="85"/>
      <c r="D52" s="85"/>
      <c r="E52" s="85"/>
      <c r="F52" s="85"/>
      <c r="G52" s="85"/>
      <c r="H52" s="89"/>
      <c r="I52" s="87"/>
      <c r="K52" s="8"/>
    </row>
    <row r="53" spans="2:11">
      <c r="B53" s="109" t="s">
        <v>114</v>
      </c>
      <c r="C53" s="472" t="s">
        <v>115</v>
      </c>
      <c r="D53" s="473"/>
      <c r="E53" s="473"/>
      <c r="F53" s="473"/>
      <c r="G53" s="473"/>
      <c r="H53" s="474"/>
      <c r="I53" s="107" t="s">
        <v>77</v>
      </c>
      <c r="K53" s="8"/>
    </row>
    <row r="54" spans="2:11">
      <c r="B54" s="91">
        <v>1</v>
      </c>
      <c r="C54" s="458" t="s">
        <v>116</v>
      </c>
      <c r="D54" s="459"/>
      <c r="E54" s="459"/>
      <c r="F54" s="459"/>
      <c r="G54" s="459"/>
      <c r="H54" s="460"/>
      <c r="I54" s="103">
        <v>0</v>
      </c>
      <c r="K54" s="8"/>
    </row>
    <row r="55" spans="2:11">
      <c r="B55" s="91">
        <v>2</v>
      </c>
      <c r="C55" s="312" t="s">
        <v>117</v>
      </c>
      <c r="D55" s="312"/>
      <c r="E55" s="312"/>
      <c r="F55" s="312"/>
      <c r="G55" s="312"/>
      <c r="H55" s="313"/>
      <c r="I55" s="103">
        <v>0</v>
      </c>
      <c r="K55" s="8"/>
    </row>
    <row r="56" spans="2:11">
      <c r="B56" s="568" t="s">
        <v>80</v>
      </c>
      <c r="C56" s="569"/>
      <c r="D56" s="569"/>
      <c r="E56" s="569"/>
      <c r="F56" s="569"/>
      <c r="G56" s="569"/>
      <c r="H56" s="570"/>
      <c r="I56" s="100">
        <f>SUM(I54:I55)</f>
        <v>0</v>
      </c>
      <c r="K56" s="8"/>
    </row>
    <row r="57" spans="2:11">
      <c r="B57" s="84"/>
      <c r="C57" s="85"/>
      <c r="D57" s="85"/>
      <c r="E57" s="85"/>
      <c r="F57" s="85"/>
      <c r="G57" s="85"/>
      <c r="H57" s="86"/>
      <c r="I57" s="87"/>
      <c r="K57" s="8"/>
    </row>
    <row r="58" spans="2:11">
      <c r="B58" s="580" t="s">
        <v>148</v>
      </c>
      <c r="C58" s="470"/>
      <c r="D58" s="470"/>
      <c r="E58" s="470"/>
      <c r="F58" s="470"/>
      <c r="G58" s="470"/>
      <c r="H58" s="471"/>
      <c r="I58" s="110">
        <f>I56+I42+I34+I28+I17+I51</f>
        <v>0</v>
      </c>
      <c r="K58" s="8"/>
    </row>
    <row r="59" spans="2:11">
      <c r="B59" s="84"/>
      <c r="C59" s="85"/>
      <c r="D59" s="85"/>
      <c r="E59" s="85"/>
      <c r="F59" s="85"/>
      <c r="G59" s="85"/>
      <c r="H59" s="86"/>
      <c r="I59" s="87"/>
      <c r="K59" s="8"/>
    </row>
    <row r="60" spans="2:11">
      <c r="B60" s="428" t="s">
        <v>119</v>
      </c>
      <c r="C60" s="428"/>
      <c r="D60" s="428"/>
      <c r="E60" s="428"/>
      <c r="F60" s="428"/>
      <c r="G60" s="428"/>
      <c r="H60" s="428"/>
      <c r="I60" s="428"/>
      <c r="K60" s="8"/>
    </row>
    <row r="61" spans="2:11">
      <c r="B61" s="84"/>
      <c r="C61" s="85"/>
      <c r="D61" s="85"/>
      <c r="E61" s="85"/>
      <c r="F61" s="85"/>
      <c r="G61" s="85"/>
      <c r="H61" s="86"/>
      <c r="I61" s="87"/>
      <c r="K61" s="8"/>
    </row>
    <row r="62" spans="2:11">
      <c r="B62" s="109" t="s">
        <v>75</v>
      </c>
      <c r="C62" s="581" t="s">
        <v>120</v>
      </c>
      <c r="D62" s="582"/>
      <c r="E62" s="582"/>
      <c r="F62" s="582"/>
      <c r="G62" s="582"/>
      <c r="H62" s="583"/>
      <c r="I62" s="107" t="s">
        <v>77</v>
      </c>
      <c r="K62" s="8"/>
    </row>
    <row r="63" spans="2:11">
      <c r="B63" s="91">
        <v>1</v>
      </c>
      <c r="C63" s="173" t="s">
        <v>121</v>
      </c>
      <c r="D63" s="174"/>
      <c r="E63" s="174"/>
      <c r="F63" s="174"/>
      <c r="G63" s="174"/>
      <c r="H63" s="94">
        <f>UNIFORMES_EQUIPAMENTOS!C20</f>
        <v>0</v>
      </c>
      <c r="I63" s="94">
        <f>H63*1</f>
        <v>0</v>
      </c>
      <c r="K63" s="8"/>
    </row>
    <row r="64" spans="2:11">
      <c r="B64" s="91">
        <v>2</v>
      </c>
      <c r="C64" s="173" t="s">
        <v>122</v>
      </c>
      <c r="D64" s="174"/>
      <c r="E64" s="174"/>
      <c r="F64" s="174"/>
      <c r="G64" s="174"/>
      <c r="H64" s="94">
        <f>UNIFORMES_EQUIPAMENTOS!H29</f>
        <v>0</v>
      </c>
      <c r="I64" s="94">
        <f>H64*1</f>
        <v>0</v>
      </c>
      <c r="K64" s="8"/>
    </row>
    <row r="65" spans="2:11">
      <c r="B65" s="91">
        <v>3</v>
      </c>
      <c r="C65" s="173" t="s">
        <v>123</v>
      </c>
      <c r="D65" s="174"/>
      <c r="E65" s="174"/>
      <c r="F65" s="174"/>
      <c r="G65" s="174"/>
      <c r="H65" s="252">
        <v>0</v>
      </c>
      <c r="I65" s="94">
        <f>(I58+I63+I64)*H65</f>
        <v>0</v>
      </c>
      <c r="K65" s="8"/>
    </row>
    <row r="66" spans="2:11">
      <c r="B66" s="91">
        <v>4</v>
      </c>
      <c r="C66" s="173" t="s">
        <v>124</v>
      </c>
      <c r="D66" s="174"/>
      <c r="E66" s="174"/>
      <c r="F66" s="174"/>
      <c r="G66" s="174"/>
      <c r="H66" s="252">
        <v>0</v>
      </c>
      <c r="I66" s="94">
        <f>(I58+I63+I64+I65)*H66</f>
        <v>0</v>
      </c>
      <c r="K66" s="8"/>
    </row>
    <row r="67" spans="2:11">
      <c r="B67" s="580" t="s">
        <v>149</v>
      </c>
      <c r="C67" s="470"/>
      <c r="D67" s="470"/>
      <c r="E67" s="470"/>
      <c r="F67" s="470"/>
      <c r="G67" s="470"/>
      <c r="H67" s="471"/>
      <c r="I67" s="111">
        <f>SUM(I63:I66)</f>
        <v>0</v>
      </c>
      <c r="K67" s="8"/>
    </row>
    <row r="68" spans="2:11">
      <c r="B68" s="84"/>
      <c r="C68" s="85"/>
      <c r="D68" s="85"/>
      <c r="E68" s="85"/>
      <c r="F68" s="85"/>
      <c r="G68" s="85"/>
      <c r="H68" s="86"/>
      <c r="I68" s="87"/>
      <c r="K68" s="8"/>
    </row>
    <row r="69" spans="2:11">
      <c r="B69" s="428" t="s">
        <v>126</v>
      </c>
      <c r="C69" s="428"/>
      <c r="D69" s="428"/>
      <c r="E69" s="428"/>
      <c r="F69" s="428"/>
      <c r="G69" s="428"/>
      <c r="H69" s="428"/>
      <c r="I69" s="428"/>
      <c r="K69" s="8"/>
    </row>
    <row r="70" spans="2:11">
      <c r="B70" s="84"/>
      <c r="C70" s="85"/>
      <c r="D70" s="85"/>
      <c r="E70" s="85"/>
      <c r="F70" s="85"/>
      <c r="G70" s="85"/>
      <c r="H70" s="86"/>
      <c r="I70" s="87"/>
      <c r="K70" s="8"/>
    </row>
    <row r="71" spans="2:11">
      <c r="B71" s="109" t="s">
        <v>75</v>
      </c>
      <c r="C71" s="581" t="s">
        <v>127</v>
      </c>
      <c r="D71" s="582"/>
      <c r="E71" s="582"/>
      <c r="F71" s="582"/>
      <c r="G71" s="582"/>
      <c r="H71" s="583"/>
      <c r="I71" s="107" t="s">
        <v>77</v>
      </c>
      <c r="K71" s="8"/>
    </row>
    <row r="72" spans="2:11">
      <c r="B72" s="74">
        <v>1</v>
      </c>
      <c r="C72" s="430" t="s">
        <v>128</v>
      </c>
      <c r="D72" s="431"/>
      <c r="E72" s="431"/>
      <c r="F72" s="431"/>
      <c r="G72" s="431"/>
      <c r="H72" s="253">
        <v>0</v>
      </c>
      <c r="I72" s="94">
        <f>(ROUND((44*(H72))-(I11*0.06),2))*1</f>
        <v>0</v>
      </c>
      <c r="K72" s="8"/>
    </row>
    <row r="73" spans="2:11">
      <c r="B73" s="91">
        <v>2</v>
      </c>
      <c r="C73" s="450" t="s">
        <v>129</v>
      </c>
      <c r="D73" s="429"/>
      <c r="E73" s="429"/>
      <c r="F73" s="429"/>
      <c r="G73" s="429"/>
      <c r="H73" s="104">
        <v>0</v>
      </c>
      <c r="I73" s="104">
        <f>(ROUND((H73*22)*0.8,2))</f>
        <v>0</v>
      </c>
      <c r="K73" s="8"/>
    </row>
    <row r="74" spans="2:11">
      <c r="B74" s="91">
        <v>3</v>
      </c>
      <c r="C74" s="450" t="s">
        <v>150</v>
      </c>
      <c r="D74" s="429"/>
      <c r="E74" s="429"/>
      <c r="F74" s="429"/>
      <c r="G74" s="429"/>
      <c r="H74" s="104">
        <v>0</v>
      </c>
      <c r="I74" s="94">
        <f>H74</f>
        <v>0</v>
      </c>
      <c r="K74" s="8"/>
    </row>
    <row r="75" spans="2:11">
      <c r="B75" s="91">
        <v>4</v>
      </c>
      <c r="C75" s="450" t="s">
        <v>131</v>
      </c>
      <c r="D75" s="429"/>
      <c r="E75" s="429"/>
      <c r="F75" s="429"/>
      <c r="G75" s="429"/>
      <c r="H75" s="94">
        <v>339.49</v>
      </c>
      <c r="I75" s="94">
        <f>H75*3.5</f>
        <v>1188.2150000000001</v>
      </c>
      <c r="K75" s="8"/>
    </row>
    <row r="76" spans="2:11">
      <c r="B76" s="580" t="s">
        <v>151</v>
      </c>
      <c r="C76" s="470"/>
      <c r="D76" s="470"/>
      <c r="E76" s="470"/>
      <c r="F76" s="470"/>
      <c r="G76" s="470"/>
      <c r="H76" s="471"/>
      <c r="I76" s="111">
        <f>SUM(I72:I75)</f>
        <v>1188.2150000000001</v>
      </c>
      <c r="K76" s="8"/>
    </row>
    <row r="77" spans="2:11">
      <c r="B77" s="84"/>
      <c r="C77" s="85"/>
      <c r="D77" s="85"/>
      <c r="E77" s="85"/>
      <c r="F77" s="85"/>
      <c r="G77" s="85"/>
      <c r="H77" s="86"/>
      <c r="I77" s="87"/>
      <c r="K77" s="8"/>
    </row>
    <row r="78" spans="2:11">
      <c r="B78" s="428" t="s">
        <v>133</v>
      </c>
      <c r="C78" s="428"/>
      <c r="D78" s="428"/>
      <c r="E78" s="428"/>
      <c r="F78" s="428"/>
      <c r="G78" s="428"/>
      <c r="H78" s="428"/>
      <c r="I78" s="428"/>
      <c r="K78" s="8"/>
    </row>
    <row r="79" spans="2:11">
      <c r="B79" s="84"/>
      <c r="C79" s="85"/>
      <c r="D79" s="85"/>
      <c r="E79" s="85"/>
      <c r="F79" s="85"/>
      <c r="G79" s="85"/>
      <c r="H79" s="86"/>
      <c r="I79" s="87"/>
      <c r="K79" s="8"/>
    </row>
    <row r="80" spans="2:11">
      <c r="B80" s="109" t="s">
        <v>75</v>
      </c>
      <c r="C80" s="472" t="s">
        <v>134</v>
      </c>
      <c r="D80" s="473"/>
      <c r="E80" s="473"/>
      <c r="F80" s="473"/>
      <c r="G80" s="474"/>
      <c r="H80" s="108" t="s">
        <v>83</v>
      </c>
      <c r="I80" s="107" t="s">
        <v>77</v>
      </c>
      <c r="K80" s="8"/>
    </row>
    <row r="81" spans="2:11">
      <c r="B81" s="91">
        <v>1</v>
      </c>
      <c r="C81" s="458" t="s">
        <v>135</v>
      </c>
      <c r="D81" s="459"/>
      <c r="E81" s="459"/>
      <c r="F81" s="459"/>
      <c r="G81" s="460"/>
      <c r="H81" s="251">
        <v>7.5999999999999998E-2</v>
      </c>
      <c r="I81" s="94">
        <f>$I$85/$H$85*H81</f>
        <v>0</v>
      </c>
      <c r="K81" s="8"/>
    </row>
    <row r="82" spans="2:11">
      <c r="B82" s="91">
        <v>2</v>
      </c>
      <c r="C82" s="458" t="s">
        <v>136</v>
      </c>
      <c r="D82" s="459"/>
      <c r="E82" s="459"/>
      <c r="F82" s="459"/>
      <c r="G82" s="460"/>
      <c r="H82" s="251">
        <v>1.6500000000000001E-2</v>
      </c>
      <c r="I82" s="94">
        <f>$I$85/$H$85*H82</f>
        <v>0</v>
      </c>
      <c r="K82" s="8"/>
    </row>
    <row r="83" spans="2:11">
      <c r="B83" s="91">
        <v>3</v>
      </c>
      <c r="C83" s="458" t="s">
        <v>137</v>
      </c>
      <c r="D83" s="459"/>
      <c r="E83" s="459"/>
      <c r="F83" s="459"/>
      <c r="G83" s="460"/>
      <c r="H83" s="251">
        <v>0.05</v>
      </c>
      <c r="I83" s="94">
        <f>$I$85/$H$85*H83</f>
        <v>0</v>
      </c>
      <c r="K83" s="8"/>
    </row>
    <row r="84" spans="2:11">
      <c r="B84" s="193">
        <v>4</v>
      </c>
      <c r="C84" s="425" t="s">
        <v>138</v>
      </c>
      <c r="D84" s="426"/>
      <c r="E84" s="426"/>
      <c r="F84" s="426"/>
      <c r="G84" s="427"/>
      <c r="H84" s="251">
        <v>0</v>
      </c>
      <c r="I84" s="94">
        <f>$I$85/$H$85*H84</f>
        <v>0</v>
      </c>
      <c r="K84" s="8"/>
    </row>
    <row r="85" spans="2:11">
      <c r="B85" s="580" t="s">
        <v>80</v>
      </c>
      <c r="C85" s="470"/>
      <c r="D85" s="470"/>
      <c r="E85" s="470"/>
      <c r="F85" s="470"/>
      <c r="G85" s="471"/>
      <c r="H85" s="128">
        <f>SUM(H81:H84)</f>
        <v>0.14250000000000002</v>
      </c>
      <c r="I85" s="111">
        <f>ROUND(((I58+I67)*$H$85)/(1-$H$85),2)</f>
        <v>0</v>
      </c>
      <c r="K85" s="8"/>
    </row>
    <row r="86" spans="2:11">
      <c r="B86" s="84"/>
      <c r="C86" s="85"/>
      <c r="D86" s="85"/>
      <c r="E86" s="85"/>
      <c r="F86" s="85"/>
      <c r="G86" s="85"/>
      <c r="H86" s="86"/>
      <c r="I86" s="87"/>
      <c r="K86" s="8"/>
    </row>
    <row r="87" spans="2:11">
      <c r="B87" s="109" t="s">
        <v>75</v>
      </c>
      <c r="C87" s="472" t="s">
        <v>139</v>
      </c>
      <c r="D87" s="473"/>
      <c r="E87" s="473"/>
      <c r="F87" s="473"/>
      <c r="G87" s="474"/>
      <c r="H87" s="108" t="s">
        <v>83</v>
      </c>
      <c r="I87" s="107" t="s">
        <v>77</v>
      </c>
      <c r="K87" s="8"/>
    </row>
    <row r="88" spans="2:11">
      <c r="B88" s="91">
        <v>1</v>
      </c>
      <c r="C88" s="458" t="s">
        <v>135</v>
      </c>
      <c r="D88" s="459"/>
      <c r="E88" s="459"/>
      <c r="F88" s="459"/>
      <c r="G88" s="460"/>
      <c r="H88" s="251">
        <v>7.5999999999999998E-2</v>
      </c>
      <c r="I88" s="94">
        <f>$I$92/$H$92*H88</f>
        <v>105.31199999999998</v>
      </c>
      <c r="K88" s="8"/>
    </row>
    <row r="89" spans="2:11">
      <c r="B89" s="91">
        <v>2</v>
      </c>
      <c r="C89" s="458" t="s">
        <v>136</v>
      </c>
      <c r="D89" s="459"/>
      <c r="E89" s="459"/>
      <c r="F89" s="459"/>
      <c r="G89" s="460"/>
      <c r="H89" s="251">
        <v>1.6500000000000001E-2</v>
      </c>
      <c r="I89" s="94">
        <f>$I$92/$H$92*H89</f>
        <v>22.863789473684207</v>
      </c>
      <c r="K89" s="8"/>
    </row>
    <row r="90" spans="2:11">
      <c r="B90" s="91">
        <v>3</v>
      </c>
      <c r="C90" s="458" t="s">
        <v>137</v>
      </c>
      <c r="D90" s="459"/>
      <c r="E90" s="459"/>
      <c r="F90" s="459"/>
      <c r="G90" s="460"/>
      <c r="H90" s="251">
        <v>0.05</v>
      </c>
      <c r="I90" s="94">
        <f>$I$92/$H$92*H90</f>
        <v>69.284210526315789</v>
      </c>
      <c r="K90" s="8"/>
    </row>
    <row r="91" spans="2:11">
      <c r="B91" s="193">
        <v>4</v>
      </c>
      <c r="C91" s="425" t="s">
        <v>138</v>
      </c>
      <c r="D91" s="426"/>
      <c r="E91" s="426"/>
      <c r="F91" s="426"/>
      <c r="G91" s="427"/>
      <c r="H91" s="251">
        <v>0</v>
      </c>
      <c r="I91" s="94">
        <f>$I$92/$H$92*H91</f>
        <v>0</v>
      </c>
      <c r="K91" s="8"/>
    </row>
    <row r="92" spans="2:11">
      <c r="B92" s="580" t="s">
        <v>80</v>
      </c>
      <c r="C92" s="470"/>
      <c r="D92" s="470"/>
      <c r="E92" s="470"/>
      <c r="F92" s="470"/>
      <c r="G92" s="471"/>
      <c r="H92" s="128">
        <f>SUM(H88:H91)</f>
        <v>0.14250000000000002</v>
      </c>
      <c r="I92" s="111">
        <f>ROUND(((I76)*$H$85)/(1-$H$85),2)</f>
        <v>197.46</v>
      </c>
      <c r="K92" s="8"/>
    </row>
    <row r="93" spans="2:11">
      <c r="B93" s="84"/>
      <c r="C93" s="85"/>
      <c r="D93" s="85"/>
      <c r="E93" s="85"/>
      <c r="F93" s="85"/>
      <c r="G93" s="85"/>
      <c r="H93" s="86"/>
      <c r="I93" s="87"/>
      <c r="K93" s="8"/>
    </row>
    <row r="94" spans="2:11">
      <c r="B94" s="580" t="s">
        <v>152</v>
      </c>
      <c r="C94" s="470"/>
      <c r="D94" s="470"/>
      <c r="E94" s="470"/>
      <c r="F94" s="470"/>
      <c r="G94" s="470"/>
      <c r="H94" s="471"/>
      <c r="I94" s="230">
        <f>I92+I85</f>
        <v>197.46</v>
      </c>
      <c r="K94" s="8"/>
    </row>
    <row r="95" spans="2:11">
      <c r="B95" s="84"/>
      <c r="C95" s="85"/>
      <c r="D95" s="85"/>
      <c r="E95" s="85"/>
      <c r="F95" s="85"/>
      <c r="G95" s="85"/>
      <c r="H95" s="86"/>
      <c r="I95" s="87"/>
      <c r="K95" s="8"/>
    </row>
    <row r="96" spans="2:11">
      <c r="B96" s="423" t="s">
        <v>36</v>
      </c>
      <c r="C96" s="423"/>
      <c r="D96" s="423"/>
      <c r="E96" s="423"/>
      <c r="F96" s="423"/>
      <c r="G96" s="423"/>
      <c r="H96" s="423"/>
      <c r="I96" s="423"/>
      <c r="K96" s="8"/>
    </row>
    <row r="97" spans="2:13">
      <c r="B97" s="84"/>
      <c r="C97" s="85"/>
      <c r="D97" s="85"/>
      <c r="E97" s="85"/>
      <c r="F97" s="85"/>
      <c r="G97" s="85"/>
      <c r="H97" s="86"/>
      <c r="I97" s="87"/>
      <c r="K97" s="8"/>
    </row>
    <row r="98" spans="2:13">
      <c r="B98" s="580" t="s">
        <v>153</v>
      </c>
      <c r="C98" s="470"/>
      <c r="D98" s="470"/>
      <c r="E98" s="470"/>
      <c r="F98" s="470"/>
      <c r="G98" s="470"/>
      <c r="H98" s="471"/>
      <c r="I98" s="111">
        <f>I58+I67+I85</f>
        <v>0</v>
      </c>
      <c r="K98" s="8"/>
      <c r="M98" s="12"/>
    </row>
    <row r="99" spans="2:13">
      <c r="B99" s="95"/>
      <c r="C99" s="95"/>
      <c r="D99" s="95"/>
      <c r="E99" s="95"/>
      <c r="F99" s="95"/>
      <c r="G99" s="95"/>
      <c r="H99" s="96"/>
      <c r="I99" s="105"/>
      <c r="K99" s="8"/>
    </row>
    <row r="100" spans="2:13">
      <c r="B100" s="580" t="s">
        <v>154</v>
      </c>
      <c r="C100" s="470"/>
      <c r="D100" s="470"/>
      <c r="E100" s="470"/>
      <c r="F100" s="470"/>
      <c r="G100" s="470"/>
      <c r="H100" s="471"/>
      <c r="I100" s="111">
        <f>I76+I92</f>
        <v>1385.6750000000002</v>
      </c>
      <c r="K100" s="8"/>
    </row>
    <row r="101" spans="2:13">
      <c r="B101" s="95"/>
      <c r="C101" s="95"/>
      <c r="D101" s="95"/>
      <c r="E101" s="95"/>
      <c r="F101" s="95"/>
      <c r="G101" s="95"/>
      <c r="H101" s="96"/>
      <c r="I101" s="105"/>
      <c r="K101" s="8"/>
    </row>
    <row r="102" spans="2:13">
      <c r="B102" s="580" t="s">
        <v>155</v>
      </c>
      <c r="C102" s="470"/>
      <c r="D102" s="470"/>
      <c r="E102" s="470"/>
      <c r="F102" s="470"/>
      <c r="G102" s="470"/>
      <c r="H102" s="471"/>
      <c r="I102" s="111">
        <f>I58+I67+I76+I94</f>
        <v>1385.6750000000002</v>
      </c>
    </row>
    <row r="103" spans="2:13">
      <c r="B103" s="97"/>
      <c r="C103" s="97"/>
      <c r="D103" s="97"/>
      <c r="E103" s="97"/>
      <c r="F103" s="97"/>
      <c r="G103" s="97"/>
      <c r="H103" s="97"/>
      <c r="I103" s="106"/>
      <c r="K103" s="8"/>
    </row>
    <row r="104" spans="2:13">
      <c r="B104" s="424" t="s">
        <v>156</v>
      </c>
      <c r="C104" s="424"/>
      <c r="D104" s="424"/>
      <c r="E104" s="424"/>
      <c r="F104" s="424"/>
      <c r="G104" s="424"/>
      <c r="H104" s="424"/>
      <c r="I104" s="111">
        <f>I98*1</f>
        <v>0</v>
      </c>
      <c r="K104" s="8"/>
    </row>
    <row r="105" spans="2:13">
      <c r="B105" s="84"/>
      <c r="C105" s="85"/>
      <c r="D105" s="85"/>
      <c r="E105" s="85"/>
      <c r="F105" s="85"/>
      <c r="G105" s="85"/>
      <c r="H105" s="86"/>
      <c r="I105" s="105"/>
    </row>
    <row r="106" spans="2:13">
      <c r="B106" s="424" t="s">
        <v>157</v>
      </c>
      <c r="C106" s="424"/>
      <c r="D106" s="424"/>
      <c r="E106" s="424"/>
      <c r="F106" s="424"/>
      <c r="G106" s="424"/>
      <c r="H106" s="424"/>
      <c r="I106" s="111">
        <f>I102*1</f>
        <v>1385.6750000000002</v>
      </c>
    </row>
    <row r="107" spans="2:13">
      <c r="B107" s="84"/>
      <c r="C107" s="85"/>
      <c r="D107" s="85"/>
      <c r="E107" s="422"/>
      <c r="F107" s="422"/>
      <c r="G107" s="422"/>
      <c r="H107" s="422"/>
      <c r="I107" s="422"/>
    </row>
    <row r="108" spans="2:13" ht="18">
      <c r="E108" s="395"/>
      <c r="F108" s="395"/>
      <c r="G108" s="396"/>
      <c r="H108" s="396"/>
      <c r="I108" s="396"/>
    </row>
    <row r="109" spans="2:13">
      <c r="B109" s="397"/>
      <c r="C109" s="397"/>
      <c r="D109" s="397"/>
      <c r="E109" s="397"/>
      <c r="F109" s="397"/>
      <c r="G109" s="397"/>
    </row>
  </sheetData>
  <sheetProtection selectLockedCells="1"/>
  <mergeCells count="80">
    <mergeCell ref="B1:I1"/>
    <mergeCell ref="B109:G109"/>
    <mergeCell ref="B2:I2"/>
    <mergeCell ref="B5:I5"/>
    <mergeCell ref="B6:I6"/>
    <mergeCell ref="B7:I7"/>
    <mergeCell ref="B8:I8"/>
    <mergeCell ref="B9:I9"/>
    <mergeCell ref="B11:H11"/>
    <mergeCell ref="B13:I13"/>
    <mergeCell ref="C15:H15"/>
    <mergeCell ref="C16:H16"/>
    <mergeCell ref="B17:H17"/>
    <mergeCell ref="C19:G19"/>
    <mergeCell ref="C20:G20"/>
    <mergeCell ref="C21:G21"/>
    <mergeCell ref="C22:G22"/>
    <mergeCell ref="C23:G23"/>
    <mergeCell ref="C24:G24"/>
    <mergeCell ref="C25:G25"/>
    <mergeCell ref="C27:G27"/>
    <mergeCell ref="B28:G28"/>
    <mergeCell ref="C30:G30"/>
    <mergeCell ref="C31:G31"/>
    <mergeCell ref="C32:G32"/>
    <mergeCell ref="C33:G33"/>
    <mergeCell ref="B34:G34"/>
    <mergeCell ref="C36:G36"/>
    <mergeCell ref="C37:G37"/>
    <mergeCell ref="C38:G38"/>
    <mergeCell ref="C39:G39"/>
    <mergeCell ref="C40:G40"/>
    <mergeCell ref="C41:G41"/>
    <mergeCell ref="B42:G42"/>
    <mergeCell ref="C44:G44"/>
    <mergeCell ref="C45:H45"/>
    <mergeCell ref="C46:H46"/>
    <mergeCell ref="C47:H47"/>
    <mergeCell ref="C48:H48"/>
    <mergeCell ref="C53:H53"/>
    <mergeCell ref="C49:H49"/>
    <mergeCell ref="C50:H50"/>
    <mergeCell ref="B51:H51"/>
    <mergeCell ref="B69:I69"/>
    <mergeCell ref="B78:I78"/>
    <mergeCell ref="C80:G80"/>
    <mergeCell ref="C54:H54"/>
    <mergeCell ref="B56:H56"/>
    <mergeCell ref="B58:H58"/>
    <mergeCell ref="B60:I60"/>
    <mergeCell ref="B67:H67"/>
    <mergeCell ref="C62:H62"/>
    <mergeCell ref="C71:H71"/>
    <mergeCell ref="C75:G75"/>
    <mergeCell ref="C73:G73"/>
    <mergeCell ref="C74:G74"/>
    <mergeCell ref="B76:H76"/>
    <mergeCell ref="C72:G72"/>
    <mergeCell ref="C81:G81"/>
    <mergeCell ref="C82:G82"/>
    <mergeCell ref="C83:G83"/>
    <mergeCell ref="B85:G85"/>
    <mergeCell ref="C87:G87"/>
    <mergeCell ref="C84:G84"/>
    <mergeCell ref="C88:G88"/>
    <mergeCell ref="C89:G89"/>
    <mergeCell ref="C90:G90"/>
    <mergeCell ref="B92:G92"/>
    <mergeCell ref="B94:H94"/>
    <mergeCell ref="C91:G91"/>
    <mergeCell ref="E107:F107"/>
    <mergeCell ref="G107:I107"/>
    <mergeCell ref="E108:F108"/>
    <mergeCell ref="G108:I108"/>
    <mergeCell ref="B96:I96"/>
    <mergeCell ref="B98:H98"/>
    <mergeCell ref="B100:H100"/>
    <mergeCell ref="B102:H102"/>
    <mergeCell ref="B104:H104"/>
    <mergeCell ref="B106:H106"/>
  </mergeCells>
  <pageMargins left="0.511811024" right="0.511811024" top="0.78740157499999996" bottom="0.78740157499999996" header="0.31496062000000002" footer="0.31496062000000002"/>
  <pageSetup paperSize="9" scale="78" orientation="portrait" r:id="rId1"/>
  <rowBreaks count="1" manualBreakCount="1">
    <brk id="59"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L110"/>
  <sheetViews>
    <sheetView topLeftCell="A10" zoomScaleNormal="100" workbookViewId="0">
      <selection activeCell="I38" sqref="I38"/>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10" max="10" width="12.140625" bestFit="1"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266" max="266" width="12.140625" bestFit="1"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522" max="522" width="12.140625" bestFit="1"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778" max="778" width="12.140625" bestFit="1"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034" max="1034" width="12.140625" bestFit="1"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290" max="1290" width="12.140625" bestFit="1"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546" max="1546" width="12.140625" bestFit="1"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1802" max="1802" width="12.140625" bestFit="1"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058" max="2058" width="12.140625" bestFit="1"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314" max="2314" width="12.140625" bestFit="1"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570" max="2570" width="12.140625" bestFit="1"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2826" max="2826" width="12.140625" bestFit="1"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082" max="3082" width="12.140625" bestFit="1"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338" max="3338" width="12.140625" bestFit="1"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594" max="3594" width="12.140625" bestFit="1"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3850" max="3850" width="12.140625" bestFit="1"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106" max="4106" width="12.140625" bestFit="1"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362" max="4362" width="12.140625" bestFit="1"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618" max="4618" width="12.140625" bestFit="1"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4874" max="4874" width="12.140625" bestFit="1"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130" max="5130" width="12.140625" bestFit="1"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386" max="5386" width="12.140625" bestFit="1"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642" max="5642" width="12.140625" bestFit="1"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5898" max="5898" width="12.140625" bestFit="1"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154" max="6154" width="12.140625" bestFit="1"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410" max="6410" width="12.140625" bestFit="1"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666" max="6666" width="12.140625" bestFit="1"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6922" max="6922" width="12.140625" bestFit="1"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178" max="7178" width="12.140625" bestFit="1"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434" max="7434" width="12.140625" bestFit="1"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690" max="7690" width="12.140625" bestFit="1"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7946" max="7946" width="12.140625" bestFit="1"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202" max="8202" width="12.140625" bestFit="1"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458" max="8458" width="12.140625" bestFit="1"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714" max="8714" width="12.140625" bestFit="1"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8970" max="8970" width="12.140625" bestFit="1"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226" max="9226" width="12.140625" bestFit="1"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482" max="9482" width="12.140625" bestFit="1"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738" max="9738" width="12.140625" bestFit="1"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9994" max="9994" width="12.140625" bestFit="1"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250" max="10250" width="12.140625" bestFit="1"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506" max="10506" width="12.140625" bestFit="1"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0762" max="10762" width="12.140625" bestFit="1"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018" max="11018" width="12.140625" bestFit="1"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274" max="11274" width="12.140625" bestFit="1"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530" max="11530" width="12.140625" bestFit="1"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1786" max="11786" width="12.140625" bestFit="1"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042" max="12042" width="12.140625" bestFit="1"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298" max="12298" width="12.140625" bestFit="1"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554" max="12554" width="12.140625" bestFit="1"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2810" max="12810" width="12.140625" bestFit="1"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066" max="13066" width="12.140625" bestFit="1"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322" max="13322" width="12.140625" bestFit="1"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578" max="13578" width="12.140625" bestFit="1"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3834" max="13834" width="12.140625" bestFit="1"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090" max="14090" width="12.140625" bestFit="1"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346" max="14346" width="12.140625" bestFit="1"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602" max="14602" width="12.140625" bestFit="1"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4858" max="14858" width="12.140625" bestFit="1"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114" max="15114" width="12.140625" bestFit="1"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370" max="15370" width="12.140625" bestFit="1"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626" max="15626" width="12.140625" bestFit="1"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5882" max="15882" width="12.140625" bestFit="1"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 min="16138" max="16138" width="12.140625" bestFit="1" customWidth="1"/>
  </cols>
  <sheetData>
    <row r="1" spans="2:10" ht="57" customHeight="1" thickBot="1">
      <c r="B1" s="432" t="s">
        <v>158</v>
      </c>
      <c r="C1" s="432"/>
      <c r="D1" s="432"/>
      <c r="E1" s="432"/>
      <c r="F1" s="432"/>
      <c r="G1" s="432"/>
      <c r="H1" s="432"/>
      <c r="I1" s="432"/>
    </row>
    <row r="2" spans="2:10" ht="30" customHeight="1">
      <c r="B2" s="446" t="s">
        <v>67</v>
      </c>
      <c r="C2" s="447"/>
      <c r="D2" s="447"/>
      <c r="E2" s="447"/>
      <c r="F2" s="447"/>
      <c r="G2" s="447"/>
      <c r="H2" s="447"/>
      <c r="I2" s="448"/>
    </row>
    <row r="3" spans="2:10">
      <c r="B3" s="64"/>
      <c r="H3" s="65"/>
      <c r="I3" s="66"/>
    </row>
    <row r="4" spans="2:10">
      <c r="B4" s="67"/>
      <c r="C4" s="68"/>
      <c r="D4" s="68"/>
      <c r="E4" s="68"/>
      <c r="F4" s="68"/>
      <c r="G4" s="68"/>
      <c r="H4" s="69"/>
      <c r="I4" s="70"/>
    </row>
    <row r="5" spans="2:10">
      <c r="B5" s="434" t="s">
        <v>68</v>
      </c>
      <c r="C5" s="435"/>
      <c r="D5" s="435"/>
      <c r="E5" s="435"/>
      <c r="F5" s="435"/>
      <c r="G5" s="435"/>
      <c r="H5" s="435"/>
      <c r="I5" s="436"/>
    </row>
    <row r="6" spans="2:10">
      <c r="B6" s="434" t="s">
        <v>159</v>
      </c>
      <c r="C6" s="435"/>
      <c r="D6" s="435"/>
      <c r="E6" s="435"/>
      <c r="F6" s="435"/>
      <c r="G6" s="435"/>
      <c r="H6" s="435"/>
      <c r="I6" s="436"/>
    </row>
    <row r="7" spans="2:10">
      <c r="B7" s="434" t="s">
        <v>146</v>
      </c>
      <c r="C7" s="435"/>
      <c r="D7" s="435"/>
      <c r="E7" s="435"/>
      <c r="F7" s="435"/>
      <c r="G7" s="435"/>
      <c r="H7" s="435"/>
      <c r="I7" s="436"/>
    </row>
    <row r="8" spans="2:10">
      <c r="B8" s="442" t="s">
        <v>71</v>
      </c>
      <c r="C8" s="489"/>
      <c r="D8" s="489"/>
      <c r="E8" s="489"/>
      <c r="F8" s="489"/>
      <c r="G8" s="489"/>
      <c r="H8" s="489"/>
      <c r="I8" s="449"/>
    </row>
    <row r="9" spans="2:10">
      <c r="B9" s="437" t="s">
        <v>72</v>
      </c>
      <c r="C9" s="437"/>
      <c r="D9" s="437"/>
      <c r="E9" s="437"/>
      <c r="F9" s="437"/>
      <c r="G9" s="437"/>
      <c r="H9" s="437"/>
      <c r="I9" s="437"/>
    </row>
    <row r="10" spans="2:10">
      <c r="B10" s="67"/>
      <c r="C10" s="68"/>
      <c r="D10" s="68"/>
      <c r="E10" s="68"/>
      <c r="F10" s="68"/>
      <c r="G10" s="68"/>
      <c r="H10" s="69"/>
      <c r="I10" s="70"/>
    </row>
    <row r="11" spans="2:10">
      <c r="B11" s="442" t="s">
        <v>147</v>
      </c>
      <c r="C11" s="489"/>
      <c r="D11" s="489"/>
      <c r="E11" s="489"/>
      <c r="F11" s="489"/>
      <c r="G11" s="489"/>
      <c r="H11" s="490"/>
      <c r="I11" s="71">
        <v>0</v>
      </c>
      <c r="J11" s="15"/>
    </row>
    <row r="12" spans="2:10">
      <c r="B12" s="72"/>
      <c r="H12" s="65"/>
      <c r="I12" s="73"/>
    </row>
    <row r="13" spans="2:10">
      <c r="B13" s="439" t="s">
        <v>74</v>
      </c>
      <c r="C13" s="440"/>
      <c r="D13" s="440"/>
      <c r="E13" s="440"/>
      <c r="F13" s="440"/>
      <c r="G13" s="440"/>
      <c r="H13" s="440"/>
      <c r="I13" s="441"/>
    </row>
    <row r="14" spans="2:10">
      <c r="B14" s="72"/>
      <c r="H14" s="65"/>
      <c r="I14" s="73"/>
    </row>
    <row r="15" spans="2:10">
      <c r="B15" s="112" t="s">
        <v>75</v>
      </c>
      <c r="C15" s="472" t="s">
        <v>76</v>
      </c>
      <c r="D15" s="473"/>
      <c r="E15" s="473"/>
      <c r="F15" s="473"/>
      <c r="G15" s="473"/>
      <c r="H15" s="474"/>
      <c r="I15" s="113" t="s">
        <v>77</v>
      </c>
    </row>
    <row r="16" spans="2:10">
      <c r="B16" s="74">
        <v>1</v>
      </c>
      <c r="C16" s="584" t="s">
        <v>78</v>
      </c>
      <c r="D16" s="585"/>
      <c r="E16" s="585"/>
      <c r="F16" s="585"/>
      <c r="G16" s="585"/>
      <c r="H16" s="586"/>
      <c r="I16" s="99">
        <f>I11</f>
        <v>0</v>
      </c>
    </row>
    <row r="17" spans="2:9">
      <c r="B17" s="438" t="s">
        <v>80</v>
      </c>
      <c r="C17" s="470"/>
      <c r="D17" s="470"/>
      <c r="E17" s="470"/>
      <c r="F17" s="470"/>
      <c r="G17" s="470"/>
      <c r="H17" s="471"/>
      <c r="I17" s="124">
        <f>SUM(I16:I16)</f>
        <v>0</v>
      </c>
    </row>
    <row r="18" spans="2:9">
      <c r="B18" s="72"/>
      <c r="H18" s="76"/>
      <c r="I18" s="73"/>
    </row>
    <row r="19" spans="2:9">
      <c r="B19" s="112" t="s">
        <v>81</v>
      </c>
      <c r="C19" s="472" t="s">
        <v>82</v>
      </c>
      <c r="D19" s="473"/>
      <c r="E19" s="473"/>
      <c r="F19" s="473"/>
      <c r="G19" s="474"/>
      <c r="H19" s="108" t="s">
        <v>83</v>
      </c>
      <c r="I19" s="113" t="s">
        <v>77</v>
      </c>
    </row>
    <row r="20" spans="2:9">
      <c r="B20" s="74">
        <v>1</v>
      </c>
      <c r="C20" s="425" t="s">
        <v>84</v>
      </c>
      <c r="D20" s="426"/>
      <c r="E20" s="426"/>
      <c r="F20" s="426"/>
      <c r="G20" s="427"/>
      <c r="H20" s="249">
        <v>0.2</v>
      </c>
      <c r="I20" s="99">
        <f t="shared" ref="I20:I27" si="0">ROUND($I$17*H20,2)</f>
        <v>0</v>
      </c>
    </row>
    <row r="21" spans="2:9">
      <c r="B21" s="74">
        <v>2</v>
      </c>
      <c r="C21" s="425" t="s">
        <v>85</v>
      </c>
      <c r="D21" s="426"/>
      <c r="E21" s="426"/>
      <c r="F21" s="426"/>
      <c r="G21" s="427"/>
      <c r="H21" s="249">
        <v>1.4999999999999999E-2</v>
      </c>
      <c r="I21" s="99">
        <f t="shared" si="0"/>
        <v>0</v>
      </c>
    </row>
    <row r="22" spans="2:9">
      <c r="B22" s="74">
        <v>3</v>
      </c>
      <c r="C22" s="425" t="s">
        <v>86</v>
      </c>
      <c r="D22" s="426"/>
      <c r="E22" s="426"/>
      <c r="F22" s="426"/>
      <c r="G22" s="427"/>
      <c r="H22" s="249">
        <v>0.01</v>
      </c>
      <c r="I22" s="99">
        <f t="shared" si="0"/>
        <v>0</v>
      </c>
    </row>
    <row r="23" spans="2:9">
      <c r="B23" s="74">
        <v>4</v>
      </c>
      <c r="C23" s="425" t="s">
        <v>87</v>
      </c>
      <c r="D23" s="426"/>
      <c r="E23" s="426"/>
      <c r="F23" s="426"/>
      <c r="G23" s="427"/>
      <c r="H23" s="249">
        <v>2E-3</v>
      </c>
      <c r="I23" s="99">
        <f t="shared" si="0"/>
        <v>0</v>
      </c>
    </row>
    <row r="24" spans="2:9">
      <c r="B24" s="74">
        <v>5</v>
      </c>
      <c r="C24" s="425" t="s">
        <v>88</v>
      </c>
      <c r="D24" s="426"/>
      <c r="E24" s="426"/>
      <c r="F24" s="426"/>
      <c r="G24" s="427"/>
      <c r="H24" s="249">
        <v>2.5000000000000001E-2</v>
      </c>
      <c r="I24" s="99">
        <f t="shared" si="0"/>
        <v>0</v>
      </c>
    </row>
    <row r="25" spans="2:9">
      <c r="B25" s="74">
        <v>6</v>
      </c>
      <c r="C25" s="425" t="s">
        <v>89</v>
      </c>
      <c r="D25" s="426"/>
      <c r="E25" s="426"/>
      <c r="F25" s="426"/>
      <c r="G25" s="427"/>
      <c r="H25" s="249">
        <v>0.08</v>
      </c>
      <c r="I25" s="99">
        <f t="shared" si="0"/>
        <v>0</v>
      </c>
    </row>
    <row r="26" spans="2:9">
      <c r="B26" s="74">
        <v>7</v>
      </c>
      <c r="C26" s="1" t="s">
        <v>90</v>
      </c>
      <c r="D26" s="305" t="s">
        <v>91</v>
      </c>
      <c r="E26" s="306">
        <v>0.03</v>
      </c>
      <c r="F26" s="305" t="s">
        <v>92</v>
      </c>
      <c r="G26" s="307">
        <v>1</v>
      </c>
      <c r="H26" s="249">
        <f>E26*G26</f>
        <v>0.03</v>
      </c>
      <c r="I26" s="120">
        <f>ROUND($I$17*H26,2)</f>
        <v>0</v>
      </c>
    </row>
    <row r="27" spans="2:9">
      <c r="B27" s="74">
        <v>8</v>
      </c>
      <c r="C27" s="425" t="s">
        <v>93</v>
      </c>
      <c r="D27" s="426"/>
      <c r="E27" s="426"/>
      <c r="F27" s="426"/>
      <c r="G27" s="427"/>
      <c r="H27" s="249">
        <v>6.0000000000000001E-3</v>
      </c>
      <c r="I27" s="99">
        <f t="shared" si="0"/>
        <v>0</v>
      </c>
    </row>
    <row r="28" spans="2:9">
      <c r="B28" s="438" t="s">
        <v>80</v>
      </c>
      <c r="C28" s="470"/>
      <c r="D28" s="470"/>
      <c r="E28" s="470"/>
      <c r="F28" s="470"/>
      <c r="G28" s="471"/>
      <c r="H28" s="128">
        <f>SUM(H20:H27)</f>
        <v>0.3680000000000001</v>
      </c>
      <c r="I28" s="124">
        <f>SUM(I20:I27)</f>
        <v>0</v>
      </c>
    </row>
    <row r="29" spans="2:9">
      <c r="B29" s="72"/>
      <c r="H29" s="76"/>
      <c r="I29" s="73"/>
    </row>
    <row r="30" spans="2:9">
      <c r="B30" s="112" t="s">
        <v>94</v>
      </c>
      <c r="C30" s="472" t="s">
        <v>95</v>
      </c>
      <c r="D30" s="473"/>
      <c r="E30" s="473"/>
      <c r="F30" s="473"/>
      <c r="G30" s="474"/>
      <c r="H30" s="108" t="s">
        <v>83</v>
      </c>
      <c r="I30" s="113" t="s">
        <v>77</v>
      </c>
    </row>
    <row r="31" spans="2:9">
      <c r="B31" s="74">
        <v>1</v>
      </c>
      <c r="C31" s="425" t="s">
        <v>96</v>
      </c>
      <c r="D31" s="426"/>
      <c r="E31" s="426"/>
      <c r="F31" s="426"/>
      <c r="G31" s="427"/>
      <c r="H31" s="225">
        <f>ROUND(1/12,4)</f>
        <v>8.3299999999999999E-2</v>
      </c>
      <c r="I31" s="99">
        <f>ROUND($I$17*H31,2)</f>
        <v>0</v>
      </c>
    </row>
    <row r="32" spans="2:9">
      <c r="B32" s="74">
        <v>2</v>
      </c>
      <c r="C32" s="425" t="s">
        <v>97</v>
      </c>
      <c r="D32" s="426"/>
      <c r="E32" s="426"/>
      <c r="F32" s="426"/>
      <c r="G32" s="427"/>
      <c r="H32" s="231">
        <v>3.0249999999999999E-2</v>
      </c>
      <c r="I32" s="99">
        <f>ROUND($I$17*H32,2)</f>
        <v>0</v>
      </c>
    </row>
    <row r="33" spans="2:11">
      <c r="B33" s="74">
        <v>3</v>
      </c>
      <c r="C33" s="425" t="s">
        <v>98</v>
      </c>
      <c r="D33" s="426"/>
      <c r="E33" s="426"/>
      <c r="F33" s="426"/>
      <c r="G33" s="427"/>
      <c r="H33" s="232">
        <f>ROUND((H31+H32)*H28,4)</f>
        <v>4.1799999999999997E-2</v>
      </c>
      <c r="I33" s="99">
        <f>ROUND($I$17*H33,2)</f>
        <v>0</v>
      </c>
      <c r="J33" s="7"/>
    </row>
    <row r="34" spans="2:11">
      <c r="B34" s="438" t="s">
        <v>80</v>
      </c>
      <c r="C34" s="470"/>
      <c r="D34" s="470"/>
      <c r="E34" s="470"/>
      <c r="F34" s="470"/>
      <c r="G34" s="471"/>
      <c r="H34" s="128">
        <f>SUM(H31:H33)</f>
        <v>0.15534999999999999</v>
      </c>
      <c r="I34" s="124">
        <f>SUM(I31:I33)</f>
        <v>0</v>
      </c>
    </row>
    <row r="35" spans="2:11">
      <c r="B35" s="72"/>
      <c r="H35" s="76"/>
      <c r="I35" s="73"/>
    </row>
    <row r="36" spans="2:11">
      <c r="B36" s="112" t="s">
        <v>99</v>
      </c>
      <c r="C36" s="472" t="s">
        <v>100</v>
      </c>
      <c r="D36" s="473"/>
      <c r="E36" s="473"/>
      <c r="F36" s="473"/>
      <c r="G36" s="474"/>
      <c r="H36" s="108" t="s">
        <v>83</v>
      </c>
      <c r="I36" s="113" t="s">
        <v>77</v>
      </c>
    </row>
    <row r="37" spans="2:11">
      <c r="B37" s="74">
        <v>1</v>
      </c>
      <c r="C37" s="467" t="s">
        <v>101</v>
      </c>
      <c r="D37" s="468"/>
      <c r="E37" s="468"/>
      <c r="F37" s="468"/>
      <c r="G37" s="469"/>
      <c r="H37" s="22">
        <f>(1+(1/12)+(1/12)+(1/12/3))/12*0.05</f>
        <v>4.9768518518518512E-3</v>
      </c>
      <c r="I37" s="99">
        <f>ROUND($I$17*H37,2)</f>
        <v>0</v>
      </c>
      <c r="K37" s="3"/>
    </row>
    <row r="38" spans="2:11">
      <c r="B38" s="74">
        <v>2</v>
      </c>
      <c r="C38" s="465" t="s">
        <v>102</v>
      </c>
      <c r="D38" s="466"/>
      <c r="E38" s="466"/>
      <c r="F38" s="466"/>
      <c r="G38" s="475"/>
      <c r="H38" s="22">
        <f>H37*0.08</f>
        <v>3.9814814814814812E-4</v>
      </c>
      <c r="I38" s="99">
        <f>ROUND($I$17*H38,2)</f>
        <v>0</v>
      </c>
      <c r="K38" s="3"/>
    </row>
    <row r="39" spans="2:11">
      <c r="B39" s="74">
        <v>3</v>
      </c>
      <c r="C39" s="467" t="s">
        <v>103</v>
      </c>
      <c r="D39" s="468"/>
      <c r="E39" s="468"/>
      <c r="F39" s="468"/>
      <c r="G39" s="469"/>
      <c r="H39" s="23">
        <f>(7/30/12)*0.9</f>
        <v>1.7500000000000002E-2</v>
      </c>
      <c r="I39" s="99">
        <f>ROUND($I$17*H39,2)</f>
        <v>0</v>
      </c>
      <c r="K39" s="3"/>
    </row>
    <row r="40" spans="2:11">
      <c r="B40" s="74">
        <v>4</v>
      </c>
      <c r="C40" s="467" t="s">
        <v>104</v>
      </c>
      <c r="D40" s="468"/>
      <c r="E40" s="468"/>
      <c r="F40" s="468"/>
      <c r="G40" s="469"/>
      <c r="H40" s="23">
        <f>H39*$H$28</f>
        <v>6.4400000000000021E-3</v>
      </c>
      <c r="I40" s="99">
        <f>ROUND($I$17*H40,2)</f>
        <v>0</v>
      </c>
      <c r="K40" s="3"/>
    </row>
    <row r="41" spans="2:11">
      <c r="B41" s="74">
        <v>5</v>
      </c>
      <c r="C41" s="467" t="s">
        <v>105</v>
      </c>
      <c r="D41" s="468"/>
      <c r="E41" s="468"/>
      <c r="F41" s="468"/>
      <c r="G41" s="469"/>
      <c r="H41" s="23">
        <v>0.04</v>
      </c>
      <c r="I41" s="99">
        <f>ROUND($I$17*H41,2)</f>
        <v>0</v>
      </c>
      <c r="K41" s="3"/>
    </row>
    <row r="42" spans="2:11">
      <c r="B42" s="438" t="s">
        <v>80</v>
      </c>
      <c r="C42" s="470"/>
      <c r="D42" s="470"/>
      <c r="E42" s="470"/>
      <c r="F42" s="470"/>
      <c r="G42" s="471"/>
      <c r="H42" s="127">
        <f>SUM(H37:H41)</f>
        <v>6.9315000000000002E-2</v>
      </c>
      <c r="I42" s="124">
        <f>SUM(I37:I41)</f>
        <v>0</v>
      </c>
      <c r="K42" s="3"/>
    </row>
    <row r="43" spans="2:11">
      <c r="B43" s="64"/>
      <c r="H43" s="76"/>
      <c r="I43" s="73"/>
      <c r="K43" s="3"/>
    </row>
    <row r="44" spans="2:11">
      <c r="B44" s="112" t="s">
        <v>106</v>
      </c>
      <c r="C44" s="472" t="s">
        <v>107</v>
      </c>
      <c r="D44" s="473"/>
      <c r="E44" s="473"/>
      <c r="F44" s="473"/>
      <c r="G44" s="474"/>
      <c r="H44" s="108"/>
      <c r="I44" s="113" t="s">
        <v>77</v>
      </c>
      <c r="K44" s="3"/>
    </row>
    <row r="45" spans="2:11">
      <c r="B45" s="74">
        <v>1</v>
      </c>
      <c r="C45" s="467" t="s">
        <v>108</v>
      </c>
      <c r="D45" s="468"/>
      <c r="E45" s="468"/>
      <c r="F45" s="468"/>
      <c r="G45" s="468"/>
      <c r="H45" s="469"/>
      <c r="I45" s="233">
        <f>ROUND((I17*9.075%)+(I17*(9.075%)*H28),2)</f>
        <v>0</v>
      </c>
      <c r="K45" s="3"/>
    </row>
    <row r="46" spans="2:11">
      <c r="B46" s="74">
        <v>2</v>
      </c>
      <c r="C46" s="587" t="s">
        <v>109</v>
      </c>
      <c r="D46" s="588"/>
      <c r="E46" s="588"/>
      <c r="F46" s="588"/>
      <c r="G46" s="588"/>
      <c r="H46" s="589"/>
      <c r="I46" s="233">
        <f>ROUND((1/30)/12*(I17+I34+I54+I45+I42+I28),2)</f>
        <v>0</v>
      </c>
      <c r="K46" s="3"/>
    </row>
    <row r="47" spans="2:11">
      <c r="B47" s="74">
        <v>3</v>
      </c>
      <c r="C47" s="587" t="s">
        <v>110</v>
      </c>
      <c r="D47" s="588"/>
      <c r="E47" s="588"/>
      <c r="F47" s="588"/>
      <c r="G47" s="588"/>
      <c r="H47" s="589"/>
      <c r="I47" s="233">
        <f>ROUND((((1/30)*5)/12*(I17+I34+I42+I45+I54+I28)*0.015),2)</f>
        <v>0</v>
      </c>
      <c r="K47" s="3"/>
    </row>
    <row r="48" spans="2:11">
      <c r="B48" s="74">
        <v>4</v>
      </c>
      <c r="C48" s="587" t="s">
        <v>111</v>
      </c>
      <c r="D48" s="588"/>
      <c r="E48" s="588"/>
      <c r="F48" s="588"/>
      <c r="G48" s="588"/>
      <c r="H48" s="589"/>
      <c r="I48" s="233">
        <f>ROUND((((($I$17+I34+I42+I45+I54+I28)/30*0.69)/12)),2)</f>
        <v>0</v>
      </c>
      <c r="K48" s="3"/>
    </row>
    <row r="49" spans="2:11">
      <c r="B49" s="74">
        <v>5</v>
      </c>
      <c r="C49" s="587" t="s">
        <v>112</v>
      </c>
      <c r="D49" s="588"/>
      <c r="E49" s="588"/>
      <c r="F49" s="588"/>
      <c r="G49" s="588"/>
      <c r="H49" s="589"/>
      <c r="I49" s="234">
        <f>ROUND((((($I$17*0.121)+(H28)*(I17*0.121))*(4/12)))*0.02,2) + ((H25*I17 + H28*I31 + I54 + I42)*4/12)*0.02</f>
        <v>0</v>
      </c>
      <c r="K49" s="3"/>
    </row>
    <row r="50" spans="2:11">
      <c r="B50" s="74">
        <v>6</v>
      </c>
      <c r="C50" s="587" t="s">
        <v>113</v>
      </c>
      <c r="D50" s="588"/>
      <c r="E50" s="588"/>
      <c r="F50" s="588"/>
      <c r="G50" s="588"/>
      <c r="H50" s="589"/>
      <c r="I50" s="234">
        <f>ROUND(((3/30)/12)*(I17+I34+I42+I45+I54+I28),2)</f>
        <v>0</v>
      </c>
      <c r="K50" s="3"/>
    </row>
    <row r="51" spans="2:11">
      <c r="B51" s="438" t="s">
        <v>80</v>
      </c>
      <c r="C51" s="470"/>
      <c r="D51" s="470"/>
      <c r="E51" s="470"/>
      <c r="F51" s="470"/>
      <c r="G51" s="470"/>
      <c r="H51" s="471"/>
      <c r="I51" s="126">
        <f>SUM(I45:I50)</f>
        <v>0</v>
      </c>
      <c r="K51" s="3"/>
    </row>
    <row r="52" spans="2:11">
      <c r="B52" s="72"/>
      <c r="H52" s="77"/>
      <c r="I52" s="73"/>
    </row>
    <row r="53" spans="2:11">
      <c r="B53" s="112" t="s">
        <v>114</v>
      </c>
      <c r="C53" s="472" t="s">
        <v>115</v>
      </c>
      <c r="D53" s="473"/>
      <c r="E53" s="473"/>
      <c r="F53" s="473"/>
      <c r="G53" s="473"/>
      <c r="H53" s="474"/>
      <c r="I53" s="113" t="s">
        <v>77</v>
      </c>
      <c r="J53" s="8"/>
    </row>
    <row r="54" spans="2:11">
      <c r="B54" s="74">
        <v>1</v>
      </c>
      <c r="C54" s="425" t="s">
        <v>116</v>
      </c>
      <c r="D54" s="426"/>
      <c r="E54" s="426"/>
      <c r="F54" s="426"/>
      <c r="G54" s="426"/>
      <c r="H54" s="427"/>
      <c r="I54" s="103">
        <v>0</v>
      </c>
      <c r="J54" s="8"/>
    </row>
    <row r="55" spans="2:11">
      <c r="B55" s="74">
        <v>2</v>
      </c>
      <c r="C55" s="425" t="s">
        <v>117</v>
      </c>
      <c r="D55" s="426"/>
      <c r="E55" s="426"/>
      <c r="F55" s="426"/>
      <c r="G55" s="426"/>
      <c r="H55" s="311"/>
      <c r="I55" s="103">
        <v>0</v>
      </c>
      <c r="J55" s="8"/>
    </row>
    <row r="56" spans="2:11">
      <c r="B56" s="442" t="s">
        <v>80</v>
      </c>
      <c r="C56" s="489"/>
      <c r="D56" s="489"/>
      <c r="E56" s="489"/>
      <c r="F56" s="489"/>
      <c r="G56" s="489"/>
      <c r="H56" s="490"/>
      <c r="I56" s="100">
        <f>SUM(I54:I55)</f>
        <v>0</v>
      </c>
      <c r="J56" s="8"/>
    </row>
    <row r="57" spans="2:11">
      <c r="B57" s="72"/>
      <c r="H57" s="76"/>
      <c r="I57" s="73"/>
      <c r="J57" s="8"/>
    </row>
    <row r="58" spans="2:11">
      <c r="B58" s="438" t="s">
        <v>148</v>
      </c>
      <c r="C58" s="470"/>
      <c r="D58" s="470"/>
      <c r="E58" s="470"/>
      <c r="F58" s="470"/>
      <c r="G58" s="470"/>
      <c r="H58" s="471"/>
      <c r="I58" s="126">
        <f>I56+I51+I42+I34+I28+I17</f>
        <v>0</v>
      </c>
      <c r="J58" s="3"/>
      <c r="K58" s="5"/>
    </row>
    <row r="59" spans="2:11">
      <c r="B59" s="72"/>
      <c r="H59" s="65"/>
      <c r="I59" s="73"/>
      <c r="J59" s="8"/>
    </row>
    <row r="60" spans="2:11">
      <c r="B60" s="439" t="s">
        <v>119</v>
      </c>
      <c r="C60" s="440"/>
      <c r="D60" s="440"/>
      <c r="E60" s="440"/>
      <c r="F60" s="440"/>
      <c r="G60" s="440"/>
      <c r="H60" s="440"/>
      <c r="I60" s="441"/>
      <c r="J60" s="8"/>
    </row>
    <row r="61" spans="2:11">
      <c r="B61" s="72"/>
      <c r="H61" s="65"/>
      <c r="I61" s="73"/>
      <c r="J61" s="8"/>
    </row>
    <row r="62" spans="2:11">
      <c r="B62" s="112" t="s">
        <v>75</v>
      </c>
      <c r="C62" s="472" t="s">
        <v>120</v>
      </c>
      <c r="D62" s="473"/>
      <c r="E62" s="473"/>
      <c r="F62" s="473"/>
      <c r="G62" s="473"/>
      <c r="H62" s="590"/>
      <c r="I62" s="113" t="s">
        <v>77</v>
      </c>
      <c r="J62" s="8"/>
    </row>
    <row r="63" spans="2:11">
      <c r="B63" s="74">
        <v>1</v>
      </c>
      <c r="C63" s="450" t="s">
        <v>121</v>
      </c>
      <c r="D63" s="429"/>
      <c r="E63" s="429"/>
      <c r="F63" s="429"/>
      <c r="G63" s="429"/>
      <c r="H63" s="235">
        <f>UNIFORMES_EQUIPAMENTOS!C20</f>
        <v>0</v>
      </c>
      <c r="I63" s="99">
        <f>H63*1</f>
        <v>0</v>
      </c>
      <c r="J63" s="3"/>
    </row>
    <row r="64" spans="2:11">
      <c r="B64" s="74">
        <v>2</v>
      </c>
      <c r="C64" s="450" t="s">
        <v>122</v>
      </c>
      <c r="D64" s="429"/>
      <c r="E64" s="429"/>
      <c r="F64" s="429"/>
      <c r="G64" s="429"/>
      <c r="H64" s="235">
        <f>UNIFORMES_EQUIPAMENTOS!H29</f>
        <v>0</v>
      </c>
      <c r="I64" s="99">
        <f>H64*1</f>
        <v>0</v>
      </c>
      <c r="J64" s="3"/>
    </row>
    <row r="65" spans="2:11">
      <c r="B65" s="74">
        <v>3</v>
      </c>
      <c r="C65" s="450" t="s">
        <v>123</v>
      </c>
      <c r="D65" s="429"/>
      <c r="E65" s="429"/>
      <c r="F65" s="429"/>
      <c r="G65" s="429"/>
      <c r="H65" s="250">
        <v>0</v>
      </c>
      <c r="I65" s="99">
        <f>(I58+I63+I64)*H65</f>
        <v>0</v>
      </c>
      <c r="J65" s="3"/>
    </row>
    <row r="66" spans="2:11">
      <c r="B66" s="74">
        <v>4</v>
      </c>
      <c r="C66" s="450" t="s">
        <v>124</v>
      </c>
      <c r="D66" s="429"/>
      <c r="E66" s="429"/>
      <c r="F66" s="429"/>
      <c r="G66" s="429"/>
      <c r="H66" s="250">
        <v>0</v>
      </c>
      <c r="I66" s="99">
        <f>(I58+I63+I64+I65)*H66</f>
        <v>0</v>
      </c>
      <c r="J66" s="3"/>
    </row>
    <row r="67" spans="2:11">
      <c r="B67" s="438" t="s">
        <v>125</v>
      </c>
      <c r="C67" s="470"/>
      <c r="D67" s="470"/>
      <c r="E67" s="470"/>
      <c r="F67" s="470"/>
      <c r="G67" s="470"/>
      <c r="H67" s="471"/>
      <c r="I67" s="124">
        <f>SUM(I63:I66)</f>
        <v>0</v>
      </c>
      <c r="J67" s="8"/>
    </row>
    <row r="68" spans="2:11">
      <c r="B68" s="72"/>
      <c r="H68" s="65"/>
      <c r="I68" s="73"/>
      <c r="J68" s="8"/>
    </row>
    <row r="69" spans="2:11">
      <c r="B69" s="439" t="s">
        <v>126</v>
      </c>
      <c r="C69" s="440"/>
      <c r="D69" s="440"/>
      <c r="E69" s="440"/>
      <c r="F69" s="440"/>
      <c r="G69" s="440"/>
      <c r="H69" s="440"/>
      <c r="I69" s="441"/>
      <c r="J69" s="8"/>
    </row>
    <row r="70" spans="2:11">
      <c r="B70" s="72"/>
      <c r="H70" s="65"/>
      <c r="I70" s="73"/>
      <c r="J70" s="8"/>
    </row>
    <row r="71" spans="2:11">
      <c r="B71" s="112" t="s">
        <v>75</v>
      </c>
      <c r="C71" s="472" t="s">
        <v>127</v>
      </c>
      <c r="D71" s="473"/>
      <c r="E71" s="473"/>
      <c r="F71" s="473"/>
      <c r="G71" s="473"/>
      <c r="H71" s="474"/>
      <c r="I71" s="113" t="s">
        <v>77</v>
      </c>
      <c r="J71" s="8"/>
    </row>
    <row r="72" spans="2:11">
      <c r="B72" s="74">
        <v>1</v>
      </c>
      <c r="C72" s="430" t="s">
        <v>128</v>
      </c>
      <c r="D72" s="431"/>
      <c r="E72" s="431"/>
      <c r="F72" s="431"/>
      <c r="G72" s="431"/>
      <c r="H72" s="253">
        <v>0</v>
      </c>
      <c r="I72" s="99">
        <f>(ROUND((44*(H72))-(I11*0.06),2))*1</f>
        <v>0</v>
      </c>
      <c r="J72" s="8"/>
    </row>
    <row r="73" spans="2:11">
      <c r="B73" s="74">
        <v>2</v>
      </c>
      <c r="C73" s="450" t="s">
        <v>129</v>
      </c>
      <c r="D73" s="429"/>
      <c r="E73" s="429"/>
      <c r="F73" s="429"/>
      <c r="G73" s="429"/>
      <c r="H73" s="103">
        <v>0</v>
      </c>
      <c r="I73" s="120">
        <f>(ROUND((H73*22)*0.8,2))</f>
        <v>0</v>
      </c>
      <c r="J73" s="8"/>
    </row>
    <row r="74" spans="2:11">
      <c r="B74" s="74">
        <v>3</v>
      </c>
      <c r="C74" s="450" t="s">
        <v>150</v>
      </c>
      <c r="D74" s="429"/>
      <c r="E74" s="429"/>
      <c r="F74" s="429"/>
      <c r="G74" s="429"/>
      <c r="H74" s="103">
        <v>0</v>
      </c>
      <c r="I74" s="99">
        <f>H74</f>
        <v>0</v>
      </c>
      <c r="J74" s="8"/>
    </row>
    <row r="75" spans="2:11">
      <c r="B75" s="74">
        <v>4</v>
      </c>
      <c r="C75" s="450" t="s">
        <v>131</v>
      </c>
      <c r="D75" s="429"/>
      <c r="E75" s="429"/>
      <c r="F75" s="429"/>
      <c r="G75" s="429"/>
      <c r="H75" s="235">
        <v>339.49</v>
      </c>
      <c r="I75" s="99">
        <f>H75*3.5</f>
        <v>1188.2150000000001</v>
      </c>
      <c r="J75" s="8"/>
      <c r="K75" s="16"/>
    </row>
    <row r="76" spans="2:11">
      <c r="B76" s="591" t="s">
        <v>151</v>
      </c>
      <c r="C76" s="592"/>
      <c r="D76" s="592"/>
      <c r="E76" s="592"/>
      <c r="F76" s="592"/>
      <c r="G76" s="592"/>
      <c r="H76" s="593"/>
      <c r="I76" s="124">
        <f>SUM(I72:I75)</f>
        <v>1188.2150000000001</v>
      </c>
      <c r="J76" s="8"/>
    </row>
    <row r="77" spans="2:11">
      <c r="B77" s="72"/>
      <c r="H77" s="65"/>
      <c r="I77" s="73"/>
      <c r="J77" s="8"/>
    </row>
    <row r="78" spans="2:11">
      <c r="B78" s="439" t="s">
        <v>133</v>
      </c>
      <c r="C78" s="440"/>
      <c r="D78" s="440"/>
      <c r="E78" s="440"/>
      <c r="F78" s="440"/>
      <c r="G78" s="440"/>
      <c r="H78" s="440"/>
      <c r="I78" s="441"/>
      <c r="J78" s="8"/>
    </row>
    <row r="79" spans="2:11">
      <c r="B79" s="72"/>
      <c r="H79" s="65"/>
      <c r="I79" s="73"/>
      <c r="J79" s="8"/>
    </row>
    <row r="80" spans="2:11">
      <c r="B80" s="112" t="s">
        <v>75</v>
      </c>
      <c r="C80" s="472" t="s">
        <v>134</v>
      </c>
      <c r="D80" s="473"/>
      <c r="E80" s="473"/>
      <c r="F80" s="473"/>
      <c r="G80" s="474"/>
      <c r="H80" s="108" t="s">
        <v>83</v>
      </c>
      <c r="I80" s="113" t="s">
        <v>77</v>
      </c>
      <c r="J80" s="8"/>
    </row>
    <row r="81" spans="2:10">
      <c r="B81" s="74">
        <v>1</v>
      </c>
      <c r="C81" s="425" t="s">
        <v>135</v>
      </c>
      <c r="D81" s="426"/>
      <c r="E81" s="426"/>
      <c r="F81" s="426"/>
      <c r="G81" s="427"/>
      <c r="H81" s="249">
        <v>7.5999999999999998E-2</v>
      </c>
      <c r="I81" s="99">
        <f>$I$85/$H$85*H81</f>
        <v>0</v>
      </c>
      <c r="J81" s="8"/>
    </row>
    <row r="82" spans="2:10">
      <c r="B82" s="74">
        <v>2</v>
      </c>
      <c r="C82" s="425" t="s">
        <v>136</v>
      </c>
      <c r="D82" s="426"/>
      <c r="E82" s="426"/>
      <c r="F82" s="426"/>
      <c r="G82" s="427"/>
      <c r="H82" s="249">
        <v>1.6500000000000001E-2</v>
      </c>
      <c r="I82" s="99">
        <f>$I$85/$H$85*H82</f>
        <v>0</v>
      </c>
      <c r="J82" s="8"/>
    </row>
    <row r="83" spans="2:10">
      <c r="B83" s="74">
        <v>3</v>
      </c>
      <c r="C83" s="425" t="s">
        <v>137</v>
      </c>
      <c r="D83" s="426"/>
      <c r="E83" s="426"/>
      <c r="F83" s="426"/>
      <c r="G83" s="427"/>
      <c r="H83" s="249">
        <v>0.05</v>
      </c>
      <c r="I83" s="99">
        <f>$I$85/$H$85*H83</f>
        <v>0</v>
      </c>
      <c r="J83" s="8"/>
    </row>
    <row r="84" spans="2:10">
      <c r="B84" s="193">
        <v>4</v>
      </c>
      <c r="C84" s="425" t="s">
        <v>138</v>
      </c>
      <c r="D84" s="426"/>
      <c r="E84" s="426"/>
      <c r="F84" s="426"/>
      <c r="G84" s="427"/>
      <c r="H84" s="249">
        <v>0</v>
      </c>
      <c r="I84" s="99">
        <f>$I$85/$H$85*H84</f>
        <v>0</v>
      </c>
      <c r="J84" s="8"/>
    </row>
    <row r="85" spans="2:10">
      <c r="B85" s="438" t="s">
        <v>80</v>
      </c>
      <c r="C85" s="470"/>
      <c r="D85" s="470"/>
      <c r="E85" s="470"/>
      <c r="F85" s="470"/>
      <c r="G85" s="471"/>
      <c r="H85" s="128">
        <f>SUM(H81:H84)</f>
        <v>0.14250000000000002</v>
      </c>
      <c r="I85" s="124">
        <f>ROUND(((I58+I67)*$H$85)/(1-$H$85),2)</f>
        <v>0</v>
      </c>
      <c r="J85" s="8"/>
    </row>
    <row r="86" spans="2:10">
      <c r="B86" s="72"/>
      <c r="H86" s="65"/>
      <c r="I86" s="73"/>
      <c r="J86" s="8"/>
    </row>
    <row r="87" spans="2:10">
      <c r="B87" s="112" t="s">
        <v>75</v>
      </c>
      <c r="C87" s="472" t="s">
        <v>139</v>
      </c>
      <c r="D87" s="473"/>
      <c r="E87" s="473"/>
      <c r="F87" s="473"/>
      <c r="G87" s="474"/>
      <c r="H87" s="108" t="s">
        <v>83</v>
      </c>
      <c r="I87" s="113" t="s">
        <v>77</v>
      </c>
      <c r="J87" s="8"/>
    </row>
    <row r="88" spans="2:10">
      <c r="B88" s="74">
        <v>1</v>
      </c>
      <c r="C88" s="425" t="s">
        <v>135</v>
      </c>
      <c r="D88" s="426"/>
      <c r="E88" s="426"/>
      <c r="F88" s="426"/>
      <c r="G88" s="427"/>
      <c r="H88" s="249">
        <v>7.5999999999999998E-2</v>
      </c>
      <c r="I88" s="99">
        <f>$I$92/$H$92*H88</f>
        <v>105.31199999999998</v>
      </c>
      <c r="J88" s="8"/>
    </row>
    <row r="89" spans="2:10">
      <c r="B89" s="74">
        <v>2</v>
      </c>
      <c r="C89" s="425" t="s">
        <v>136</v>
      </c>
      <c r="D89" s="426"/>
      <c r="E89" s="426"/>
      <c r="F89" s="426"/>
      <c r="G89" s="427"/>
      <c r="H89" s="249">
        <v>1.6500000000000001E-2</v>
      </c>
      <c r="I89" s="99">
        <f>$I$92/$H$92*H89</f>
        <v>22.863789473684207</v>
      </c>
      <c r="J89" s="8"/>
    </row>
    <row r="90" spans="2:10">
      <c r="B90" s="74">
        <v>3</v>
      </c>
      <c r="C90" s="425" t="s">
        <v>137</v>
      </c>
      <c r="D90" s="426"/>
      <c r="E90" s="426"/>
      <c r="F90" s="426"/>
      <c r="G90" s="427"/>
      <c r="H90" s="249">
        <v>0.05</v>
      </c>
      <c r="I90" s="99">
        <f>$I$92/$H$92*H90</f>
        <v>69.284210526315789</v>
      </c>
      <c r="J90" s="8"/>
    </row>
    <row r="91" spans="2:10">
      <c r="B91" s="193">
        <v>4</v>
      </c>
      <c r="C91" s="425" t="s">
        <v>138</v>
      </c>
      <c r="D91" s="426"/>
      <c r="E91" s="426"/>
      <c r="F91" s="426"/>
      <c r="G91" s="427"/>
      <c r="H91" s="249">
        <v>0</v>
      </c>
      <c r="I91" s="99">
        <f>$I$92/$H$92*H91</f>
        <v>0</v>
      </c>
      <c r="J91" s="8"/>
    </row>
    <row r="92" spans="2:10">
      <c r="B92" s="438" t="s">
        <v>80</v>
      </c>
      <c r="C92" s="470"/>
      <c r="D92" s="470"/>
      <c r="E92" s="470"/>
      <c r="F92" s="470"/>
      <c r="G92" s="471"/>
      <c r="H92" s="128">
        <f>SUM(H88:H91)</f>
        <v>0.14250000000000002</v>
      </c>
      <c r="I92" s="124">
        <f>ROUND(((I76)*$H$85)/(1-$H$85),2)</f>
        <v>197.46</v>
      </c>
      <c r="J92" s="8"/>
    </row>
    <row r="93" spans="2:10">
      <c r="B93" s="72"/>
      <c r="H93" s="65"/>
      <c r="I93" s="73"/>
      <c r="J93" s="8"/>
    </row>
    <row r="94" spans="2:10">
      <c r="B94" s="438" t="s">
        <v>160</v>
      </c>
      <c r="C94" s="470"/>
      <c r="D94" s="470"/>
      <c r="E94" s="470"/>
      <c r="F94" s="470"/>
      <c r="G94" s="470"/>
      <c r="H94" s="471"/>
      <c r="I94" s="124">
        <f>I92+I85</f>
        <v>197.46</v>
      </c>
      <c r="J94" s="8"/>
    </row>
    <row r="95" spans="2:10">
      <c r="B95" s="72"/>
      <c r="H95" s="65"/>
      <c r="I95" s="73"/>
      <c r="J95" s="8"/>
    </row>
    <row r="96" spans="2:10">
      <c r="B96" s="439" t="s">
        <v>36</v>
      </c>
      <c r="C96" s="440"/>
      <c r="D96" s="440"/>
      <c r="E96" s="440"/>
      <c r="F96" s="440"/>
      <c r="G96" s="440"/>
      <c r="H96" s="440"/>
      <c r="I96" s="441"/>
      <c r="J96" s="8"/>
    </row>
    <row r="97" spans="2:12">
      <c r="B97" s="72"/>
      <c r="H97" s="65"/>
      <c r="I97" s="73"/>
      <c r="J97" s="8"/>
    </row>
    <row r="98" spans="2:12">
      <c r="B98" s="438" t="s">
        <v>153</v>
      </c>
      <c r="C98" s="470"/>
      <c r="D98" s="470"/>
      <c r="E98" s="470"/>
      <c r="F98" s="470"/>
      <c r="G98" s="470"/>
      <c r="H98" s="471"/>
      <c r="I98" s="124">
        <f>I58+I67+I85</f>
        <v>0</v>
      </c>
      <c r="J98" s="8"/>
      <c r="L98" s="12"/>
    </row>
    <row r="99" spans="2:12">
      <c r="B99" s="78"/>
      <c r="C99" s="79"/>
      <c r="D99" s="79"/>
      <c r="E99" s="79"/>
      <c r="F99" s="79"/>
      <c r="G99" s="79"/>
      <c r="H99" s="80"/>
      <c r="I99" s="122"/>
      <c r="J99" s="8"/>
    </row>
    <row r="100" spans="2:12">
      <c r="B100" s="438" t="s">
        <v>154</v>
      </c>
      <c r="C100" s="470"/>
      <c r="D100" s="470"/>
      <c r="E100" s="470"/>
      <c r="F100" s="470"/>
      <c r="G100" s="470"/>
      <c r="H100" s="471"/>
      <c r="I100" s="124">
        <f>I76+I92</f>
        <v>1385.6750000000002</v>
      </c>
      <c r="J100" s="8"/>
    </row>
    <row r="101" spans="2:12">
      <c r="B101" s="78"/>
      <c r="C101" s="79"/>
      <c r="D101" s="79"/>
      <c r="E101" s="79"/>
      <c r="F101" s="79"/>
      <c r="G101" s="79"/>
      <c r="H101" s="80"/>
      <c r="I101" s="122"/>
      <c r="J101" s="8"/>
    </row>
    <row r="102" spans="2:12">
      <c r="B102" s="438" t="s">
        <v>155</v>
      </c>
      <c r="C102" s="470"/>
      <c r="D102" s="470"/>
      <c r="E102" s="470"/>
      <c r="F102" s="470"/>
      <c r="G102" s="470"/>
      <c r="H102" s="471"/>
      <c r="I102" s="124">
        <f>I58+I67+I76+I94</f>
        <v>1385.6750000000002</v>
      </c>
    </row>
    <row r="103" spans="2:12">
      <c r="B103" s="81"/>
      <c r="C103" s="82"/>
      <c r="D103" s="82"/>
      <c r="E103" s="82"/>
      <c r="F103" s="82"/>
      <c r="G103" s="82"/>
      <c r="H103" s="82"/>
      <c r="I103" s="123"/>
      <c r="J103" s="8"/>
    </row>
    <row r="104" spans="2:12">
      <c r="B104" s="443" t="s">
        <v>156</v>
      </c>
      <c r="C104" s="424"/>
      <c r="D104" s="424"/>
      <c r="E104" s="424"/>
      <c r="F104" s="424"/>
      <c r="G104" s="424"/>
      <c r="H104" s="424"/>
      <c r="I104" s="124">
        <f>I98*1</f>
        <v>0</v>
      </c>
      <c r="J104" s="8"/>
    </row>
    <row r="105" spans="2:12">
      <c r="B105" s="81"/>
      <c r="C105" s="82"/>
      <c r="D105" s="82"/>
      <c r="E105" s="82"/>
      <c r="F105" s="82"/>
      <c r="G105" s="82"/>
      <c r="H105" s="82"/>
      <c r="I105" s="123"/>
      <c r="J105" s="8"/>
    </row>
    <row r="106" spans="2:12" ht="15.75" thickBot="1">
      <c r="B106" s="444" t="s">
        <v>161</v>
      </c>
      <c r="C106" s="445"/>
      <c r="D106" s="445"/>
      <c r="E106" s="445"/>
      <c r="F106" s="445"/>
      <c r="G106" s="445"/>
      <c r="H106" s="445"/>
      <c r="I106" s="236">
        <f>I102*1</f>
        <v>1385.6750000000002</v>
      </c>
      <c r="J106" s="8"/>
    </row>
    <row r="108" spans="2:12">
      <c r="B108" s="17"/>
      <c r="C108" s="17"/>
      <c r="D108" s="17"/>
      <c r="E108" s="17"/>
      <c r="F108" s="17"/>
      <c r="G108" s="17"/>
    </row>
    <row r="109" spans="2:12">
      <c r="E109" s="394"/>
      <c r="F109" s="394"/>
      <c r="G109" s="394"/>
      <c r="H109" s="394"/>
      <c r="I109" s="394"/>
    </row>
    <row r="110" spans="2:12" ht="18">
      <c r="E110" s="395"/>
      <c r="F110" s="395"/>
      <c r="G110" s="396"/>
      <c r="H110" s="396"/>
      <c r="I110" s="396"/>
    </row>
  </sheetData>
  <sheetProtection selectLockedCells="1"/>
  <mergeCells count="84">
    <mergeCell ref="C54:H54"/>
    <mergeCell ref="C44:G44"/>
    <mergeCell ref="C53:H53"/>
    <mergeCell ref="C50:H50"/>
    <mergeCell ref="B1:I1"/>
    <mergeCell ref="C16:H16"/>
    <mergeCell ref="B2:I2"/>
    <mergeCell ref="B5:I5"/>
    <mergeCell ref="B6:I6"/>
    <mergeCell ref="B7:I7"/>
    <mergeCell ref="B8:I8"/>
    <mergeCell ref="B9:I9"/>
    <mergeCell ref="B11:H11"/>
    <mergeCell ref="B13:I13"/>
    <mergeCell ref="C15:H15"/>
    <mergeCell ref="B51:H51"/>
    <mergeCell ref="C45:H45"/>
    <mergeCell ref="C46:H46"/>
    <mergeCell ref="C47:H47"/>
    <mergeCell ref="C48:H48"/>
    <mergeCell ref="C49:H49"/>
    <mergeCell ref="B17:H17"/>
    <mergeCell ref="C19:G19"/>
    <mergeCell ref="C20:G20"/>
    <mergeCell ref="B28:G28"/>
    <mergeCell ref="C30:G30"/>
    <mergeCell ref="C21:G21"/>
    <mergeCell ref="C22:G22"/>
    <mergeCell ref="C23:G23"/>
    <mergeCell ref="C24:G24"/>
    <mergeCell ref="C25:G25"/>
    <mergeCell ref="C27:G27"/>
    <mergeCell ref="C31:G31"/>
    <mergeCell ref="B34:G34"/>
    <mergeCell ref="C36:G36"/>
    <mergeCell ref="C37:G37"/>
    <mergeCell ref="B42:G42"/>
    <mergeCell ref="C39:G39"/>
    <mergeCell ref="C40:G40"/>
    <mergeCell ref="C41:G41"/>
    <mergeCell ref="C32:G32"/>
    <mergeCell ref="C33:G33"/>
    <mergeCell ref="C38:G38"/>
    <mergeCell ref="B98:H98"/>
    <mergeCell ref="C81:G81"/>
    <mergeCell ref="C82:G82"/>
    <mergeCell ref="C83:G83"/>
    <mergeCell ref="B85:G85"/>
    <mergeCell ref="C87:G87"/>
    <mergeCell ref="B96:I96"/>
    <mergeCell ref="C89:G89"/>
    <mergeCell ref="C90:G90"/>
    <mergeCell ref="B92:G92"/>
    <mergeCell ref="B94:H94"/>
    <mergeCell ref="C91:G91"/>
    <mergeCell ref="C88:G88"/>
    <mergeCell ref="C84:G84"/>
    <mergeCell ref="E110:F110"/>
    <mergeCell ref="G110:I110"/>
    <mergeCell ref="B100:H100"/>
    <mergeCell ref="B102:H102"/>
    <mergeCell ref="B104:H104"/>
    <mergeCell ref="B106:H106"/>
    <mergeCell ref="E109:F109"/>
    <mergeCell ref="G109:I109"/>
    <mergeCell ref="C55:G55"/>
    <mergeCell ref="C63:G63"/>
    <mergeCell ref="C64:G64"/>
    <mergeCell ref="C65:G65"/>
    <mergeCell ref="C62:H62"/>
    <mergeCell ref="B56:H56"/>
    <mergeCell ref="B58:H58"/>
    <mergeCell ref="B60:I60"/>
    <mergeCell ref="C66:G66"/>
    <mergeCell ref="C72:G72"/>
    <mergeCell ref="C80:G80"/>
    <mergeCell ref="B67:H67"/>
    <mergeCell ref="B69:I69"/>
    <mergeCell ref="C71:H71"/>
    <mergeCell ref="B76:H76"/>
    <mergeCell ref="B78:I78"/>
    <mergeCell ref="C73:G73"/>
    <mergeCell ref="C74:G74"/>
    <mergeCell ref="C75:G75"/>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B1:K108"/>
  <sheetViews>
    <sheetView zoomScaleNormal="100" workbookViewId="0">
      <selection activeCell="H29" sqref="H29"/>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s>
  <sheetData>
    <row r="1" spans="2:9" ht="45.75" customHeight="1" thickBot="1">
      <c r="B1" s="432" t="s">
        <v>162</v>
      </c>
      <c r="C1" s="432"/>
      <c r="D1" s="432"/>
      <c r="E1" s="432"/>
      <c r="F1" s="432"/>
      <c r="G1" s="432"/>
      <c r="H1" s="432"/>
      <c r="I1" s="432"/>
    </row>
    <row r="2" spans="2:9" ht="30" customHeight="1">
      <c r="B2" s="446" t="s">
        <v>67</v>
      </c>
      <c r="C2" s="447"/>
      <c r="D2" s="447"/>
      <c r="E2" s="447"/>
      <c r="F2" s="447"/>
      <c r="G2" s="447"/>
      <c r="H2" s="447"/>
      <c r="I2" s="448"/>
    </row>
    <row r="3" spans="2:9">
      <c r="B3" s="64"/>
      <c r="H3" s="65"/>
      <c r="I3" s="66"/>
    </row>
    <row r="4" spans="2:9">
      <c r="B4" s="67"/>
      <c r="C4" s="68"/>
      <c r="D4" s="68"/>
      <c r="E4" s="68"/>
      <c r="F4" s="68"/>
      <c r="G4" s="68"/>
      <c r="H4" s="69"/>
      <c r="I4" s="70"/>
    </row>
    <row r="5" spans="2:9">
      <c r="B5" s="434" t="s">
        <v>68</v>
      </c>
      <c r="C5" s="435"/>
      <c r="D5" s="435"/>
      <c r="E5" s="435"/>
      <c r="F5" s="435"/>
      <c r="G5" s="435"/>
      <c r="H5" s="435"/>
      <c r="I5" s="436"/>
    </row>
    <row r="6" spans="2:9">
      <c r="B6" s="434" t="s">
        <v>163</v>
      </c>
      <c r="C6" s="435"/>
      <c r="D6" s="435"/>
      <c r="E6" s="435"/>
      <c r="F6" s="435"/>
      <c r="G6" s="435"/>
      <c r="H6" s="435"/>
      <c r="I6" s="436"/>
    </row>
    <row r="7" spans="2:9">
      <c r="B7" s="434" t="s">
        <v>164</v>
      </c>
      <c r="C7" s="435"/>
      <c r="D7" s="435"/>
      <c r="E7" s="435"/>
      <c r="F7" s="435"/>
      <c r="G7" s="435"/>
      <c r="H7" s="435"/>
      <c r="I7" s="436"/>
    </row>
    <row r="8" spans="2:9">
      <c r="B8" s="442" t="s">
        <v>71</v>
      </c>
      <c r="C8" s="489"/>
      <c r="D8" s="489"/>
      <c r="E8" s="489"/>
      <c r="F8" s="489"/>
      <c r="G8" s="489"/>
      <c r="H8" s="489"/>
      <c r="I8" s="449"/>
    </row>
    <row r="9" spans="2:9">
      <c r="B9" s="455" t="s">
        <v>72</v>
      </c>
      <c r="C9" s="437"/>
      <c r="D9" s="437"/>
      <c r="E9" s="437"/>
      <c r="F9" s="437"/>
      <c r="G9" s="437"/>
      <c r="H9" s="437"/>
      <c r="I9" s="456"/>
    </row>
    <row r="10" spans="2:9">
      <c r="B10" s="67"/>
      <c r="C10" s="68"/>
      <c r="D10" s="68"/>
      <c r="E10" s="68"/>
      <c r="F10" s="68"/>
      <c r="G10" s="68"/>
      <c r="H10" s="69"/>
      <c r="I10" s="70"/>
    </row>
    <row r="11" spans="2:9">
      <c r="B11" s="442" t="s">
        <v>165</v>
      </c>
      <c r="C11" s="489"/>
      <c r="D11" s="489"/>
      <c r="E11" s="489"/>
      <c r="F11" s="489"/>
      <c r="G11" s="489"/>
      <c r="H11" s="490"/>
      <c r="I11" s="185">
        <v>0</v>
      </c>
    </row>
    <row r="12" spans="2:9">
      <c r="B12" s="72"/>
      <c r="H12" s="65"/>
      <c r="I12" s="73"/>
    </row>
    <row r="13" spans="2:9">
      <c r="B13" s="439" t="s">
        <v>74</v>
      </c>
      <c r="C13" s="440"/>
      <c r="D13" s="440"/>
      <c r="E13" s="440"/>
      <c r="F13" s="440"/>
      <c r="G13" s="440"/>
      <c r="H13" s="440"/>
      <c r="I13" s="441"/>
    </row>
    <row r="14" spans="2:9">
      <c r="B14" s="72"/>
      <c r="H14" s="65"/>
      <c r="I14" s="73"/>
    </row>
    <row r="15" spans="2:9">
      <c r="B15" s="112" t="s">
        <v>75</v>
      </c>
      <c r="C15" s="472" t="s">
        <v>76</v>
      </c>
      <c r="D15" s="473"/>
      <c r="E15" s="473"/>
      <c r="F15" s="473"/>
      <c r="G15" s="473"/>
      <c r="H15" s="474"/>
      <c r="I15" s="113" t="s">
        <v>77</v>
      </c>
    </row>
    <row r="16" spans="2:9">
      <c r="B16" s="177">
        <v>1</v>
      </c>
      <c r="C16" s="571" t="s">
        <v>78</v>
      </c>
      <c r="D16" s="572"/>
      <c r="E16" s="572"/>
      <c r="F16" s="572"/>
      <c r="G16" s="572"/>
      <c r="H16" s="573"/>
      <c r="I16" s="176">
        <f>I11</f>
        <v>0</v>
      </c>
    </row>
    <row r="17" spans="2:9">
      <c r="B17" s="177">
        <v>2</v>
      </c>
      <c r="C17" s="174" t="s">
        <v>166</v>
      </c>
      <c r="D17" s="174"/>
      <c r="E17" s="174"/>
      <c r="F17" s="174"/>
      <c r="G17" s="174"/>
      <c r="H17" s="175"/>
      <c r="I17" s="176">
        <f>((ROUND((I16/220*0.2),2)*((2+(48/60))*(60/52.5)))*22)</f>
        <v>0</v>
      </c>
    </row>
    <row r="18" spans="2:9">
      <c r="B18" s="177">
        <v>3</v>
      </c>
      <c r="C18" s="458" t="s">
        <v>167</v>
      </c>
      <c r="D18" s="459"/>
      <c r="E18" s="459"/>
      <c r="F18" s="459"/>
      <c r="G18" s="459"/>
      <c r="H18" s="460"/>
      <c r="I18" s="176">
        <f>I17*(5/25)</f>
        <v>0</v>
      </c>
    </row>
    <row r="19" spans="2:9">
      <c r="B19" s="457" t="s">
        <v>80</v>
      </c>
      <c r="C19" s="473"/>
      <c r="D19" s="473"/>
      <c r="E19" s="473"/>
      <c r="F19" s="473"/>
      <c r="G19" s="473"/>
      <c r="H19" s="474"/>
      <c r="I19" s="182">
        <f>SUM(I16:I18)</f>
        <v>0</v>
      </c>
    </row>
    <row r="20" spans="2:9">
      <c r="B20" s="72"/>
      <c r="H20" s="76"/>
      <c r="I20" s="73"/>
    </row>
    <row r="21" spans="2:9">
      <c r="B21" s="112" t="s">
        <v>81</v>
      </c>
      <c r="C21" s="472" t="s">
        <v>82</v>
      </c>
      <c r="D21" s="473"/>
      <c r="E21" s="473"/>
      <c r="F21" s="473"/>
      <c r="G21" s="474"/>
      <c r="H21" s="108" t="s">
        <v>83</v>
      </c>
      <c r="I21" s="113" t="s">
        <v>77</v>
      </c>
    </row>
    <row r="22" spans="2:9">
      <c r="B22" s="74">
        <v>1</v>
      </c>
      <c r="C22" s="425" t="s">
        <v>84</v>
      </c>
      <c r="D22" s="426"/>
      <c r="E22" s="426"/>
      <c r="F22" s="426"/>
      <c r="G22" s="427"/>
      <c r="H22" s="249">
        <v>0.2</v>
      </c>
      <c r="I22" s="99">
        <f>ROUND($I$19*H22,2)</f>
        <v>0</v>
      </c>
    </row>
    <row r="23" spans="2:9">
      <c r="B23" s="74">
        <v>2</v>
      </c>
      <c r="C23" s="425" t="s">
        <v>85</v>
      </c>
      <c r="D23" s="426"/>
      <c r="E23" s="426"/>
      <c r="F23" s="426"/>
      <c r="G23" s="427"/>
      <c r="H23" s="249">
        <v>1.4999999999999999E-2</v>
      </c>
      <c r="I23" s="99">
        <f t="shared" ref="I23:I29" si="0">ROUND($I$19*H23,2)</f>
        <v>0</v>
      </c>
    </row>
    <row r="24" spans="2:9">
      <c r="B24" s="74">
        <v>3</v>
      </c>
      <c r="C24" s="425" t="s">
        <v>86</v>
      </c>
      <c r="D24" s="426"/>
      <c r="E24" s="426"/>
      <c r="F24" s="426"/>
      <c r="G24" s="427"/>
      <c r="H24" s="249">
        <v>0.01</v>
      </c>
      <c r="I24" s="99">
        <f t="shared" si="0"/>
        <v>0</v>
      </c>
    </row>
    <row r="25" spans="2:9">
      <c r="B25" s="74">
        <v>4</v>
      </c>
      <c r="C25" s="425" t="s">
        <v>87</v>
      </c>
      <c r="D25" s="426"/>
      <c r="E25" s="426"/>
      <c r="F25" s="426"/>
      <c r="G25" s="427"/>
      <c r="H25" s="249">
        <v>2E-3</v>
      </c>
      <c r="I25" s="99">
        <f t="shared" si="0"/>
        <v>0</v>
      </c>
    </row>
    <row r="26" spans="2:9">
      <c r="B26" s="74">
        <v>5</v>
      </c>
      <c r="C26" s="425" t="s">
        <v>88</v>
      </c>
      <c r="D26" s="426"/>
      <c r="E26" s="426"/>
      <c r="F26" s="426"/>
      <c r="G26" s="427"/>
      <c r="H26" s="249">
        <v>2.5000000000000001E-2</v>
      </c>
      <c r="I26" s="99">
        <f t="shared" si="0"/>
        <v>0</v>
      </c>
    </row>
    <row r="27" spans="2:9">
      <c r="B27" s="74">
        <v>6</v>
      </c>
      <c r="C27" s="425" t="s">
        <v>89</v>
      </c>
      <c r="D27" s="426"/>
      <c r="E27" s="426"/>
      <c r="F27" s="426"/>
      <c r="G27" s="427"/>
      <c r="H27" s="249">
        <v>0.08</v>
      </c>
      <c r="I27" s="99">
        <f t="shared" si="0"/>
        <v>0</v>
      </c>
    </row>
    <row r="28" spans="2:9">
      <c r="B28" s="74">
        <v>7</v>
      </c>
      <c r="C28" s="1" t="s">
        <v>90</v>
      </c>
      <c r="D28" s="305" t="s">
        <v>91</v>
      </c>
      <c r="E28" s="306">
        <v>0.03</v>
      </c>
      <c r="F28" s="305" t="s">
        <v>92</v>
      </c>
      <c r="G28" s="307">
        <v>1</v>
      </c>
      <c r="H28" s="249">
        <f>E28*G28</f>
        <v>0.03</v>
      </c>
      <c r="I28" s="120">
        <f t="shared" si="0"/>
        <v>0</v>
      </c>
    </row>
    <row r="29" spans="2:9">
      <c r="B29" s="74">
        <v>8</v>
      </c>
      <c r="C29" s="425" t="s">
        <v>93</v>
      </c>
      <c r="D29" s="426"/>
      <c r="E29" s="426"/>
      <c r="F29" s="426"/>
      <c r="G29" s="427"/>
      <c r="H29" s="249">
        <v>6.0000000000000001E-3</v>
      </c>
      <c r="I29" s="99">
        <f t="shared" si="0"/>
        <v>0</v>
      </c>
    </row>
    <row r="30" spans="2:9">
      <c r="B30" s="442" t="s">
        <v>80</v>
      </c>
      <c r="C30" s="489"/>
      <c r="D30" s="489"/>
      <c r="E30" s="489"/>
      <c r="F30" s="489"/>
      <c r="G30" s="490"/>
      <c r="H30" s="6">
        <f>SUM(H22:H29)</f>
        <v>0.3680000000000001</v>
      </c>
      <c r="I30" s="118">
        <f>SUM(I22:I29)</f>
        <v>0</v>
      </c>
    </row>
    <row r="31" spans="2:9">
      <c r="B31" s="72"/>
      <c r="H31" s="76"/>
      <c r="I31" s="73"/>
    </row>
    <row r="32" spans="2:9">
      <c r="B32" s="112" t="s">
        <v>94</v>
      </c>
      <c r="C32" s="472" t="s">
        <v>95</v>
      </c>
      <c r="D32" s="473"/>
      <c r="E32" s="473"/>
      <c r="F32" s="473"/>
      <c r="G32" s="474"/>
      <c r="H32" s="108" t="s">
        <v>83</v>
      </c>
      <c r="I32" s="113" t="s">
        <v>77</v>
      </c>
    </row>
    <row r="33" spans="2:9">
      <c r="B33" s="74">
        <v>1</v>
      </c>
      <c r="C33" s="425" t="s">
        <v>96</v>
      </c>
      <c r="D33" s="426"/>
      <c r="E33" s="426"/>
      <c r="F33" s="426"/>
      <c r="G33" s="427"/>
      <c r="H33" s="19">
        <f>ROUND(1/12,4)</f>
        <v>8.3299999999999999E-2</v>
      </c>
      <c r="I33" s="237">
        <f>ROUND($I$19*H33,2)</f>
        <v>0</v>
      </c>
    </row>
    <row r="34" spans="2:9">
      <c r="B34" s="74">
        <v>2</v>
      </c>
      <c r="C34" s="425" t="s">
        <v>97</v>
      </c>
      <c r="D34" s="426"/>
      <c r="E34" s="426"/>
      <c r="F34" s="426"/>
      <c r="G34" s="427"/>
      <c r="H34" s="20">
        <v>3.0249999999999999E-2</v>
      </c>
      <c r="I34" s="237">
        <f>ROUND($I$19*H34,2)</f>
        <v>0</v>
      </c>
    </row>
    <row r="35" spans="2:9">
      <c r="B35" s="74">
        <v>3</v>
      </c>
      <c r="C35" s="425" t="s">
        <v>98</v>
      </c>
      <c r="D35" s="426"/>
      <c r="E35" s="426"/>
      <c r="F35" s="426"/>
      <c r="G35" s="427"/>
      <c r="H35" s="21">
        <f>ROUND((H33+H34)*H30,4)</f>
        <v>4.1799999999999997E-2</v>
      </c>
      <c r="I35" s="237">
        <f>ROUND($I$19*H35,2)</f>
        <v>0</v>
      </c>
    </row>
    <row r="36" spans="2:9">
      <c r="B36" s="442" t="s">
        <v>80</v>
      </c>
      <c r="C36" s="489"/>
      <c r="D36" s="489"/>
      <c r="E36" s="489"/>
      <c r="F36" s="489"/>
      <c r="G36" s="490"/>
      <c r="H36" s="6">
        <f>SUM(H33:H35)</f>
        <v>0.15534999999999999</v>
      </c>
      <c r="I36" s="117">
        <f>SUM(I33:I35)</f>
        <v>0</v>
      </c>
    </row>
    <row r="37" spans="2:9">
      <c r="B37" s="72"/>
      <c r="H37" s="76"/>
      <c r="I37" s="73"/>
    </row>
    <row r="38" spans="2:9">
      <c r="B38" s="112" t="s">
        <v>99</v>
      </c>
      <c r="C38" s="472" t="s">
        <v>100</v>
      </c>
      <c r="D38" s="473"/>
      <c r="E38" s="473"/>
      <c r="F38" s="473"/>
      <c r="G38" s="474"/>
      <c r="H38" s="108" t="s">
        <v>83</v>
      </c>
      <c r="I38" s="113" t="s">
        <v>77</v>
      </c>
    </row>
    <row r="39" spans="2:9">
      <c r="B39" s="74">
        <v>1</v>
      </c>
      <c r="C39" s="467" t="s">
        <v>101</v>
      </c>
      <c r="D39" s="468"/>
      <c r="E39" s="468"/>
      <c r="F39" s="468"/>
      <c r="G39" s="469"/>
      <c r="H39" s="22">
        <f>(1+(1/12)+(1/12)+(1/12/3))/12*0.05</f>
        <v>4.9768518518518512E-3</v>
      </c>
      <c r="I39" s="99">
        <f>ROUND($I$16*H39,2)</f>
        <v>0</v>
      </c>
    </row>
    <row r="40" spans="2:9">
      <c r="B40" s="74">
        <v>2</v>
      </c>
      <c r="C40" s="465" t="s">
        <v>102</v>
      </c>
      <c r="D40" s="466"/>
      <c r="E40" s="466"/>
      <c r="F40" s="466"/>
      <c r="G40" s="475"/>
      <c r="H40" s="22">
        <f>H39*0.08</f>
        <v>3.9814814814814812E-4</v>
      </c>
      <c r="I40" s="99">
        <f>ROUND($I$16*H40,2)</f>
        <v>0</v>
      </c>
    </row>
    <row r="41" spans="2:9">
      <c r="B41" s="74">
        <v>4</v>
      </c>
      <c r="C41" s="467" t="s">
        <v>103</v>
      </c>
      <c r="D41" s="468"/>
      <c r="E41" s="468"/>
      <c r="F41" s="468"/>
      <c r="G41" s="469"/>
      <c r="H41" s="23">
        <f>(7/30/12)*0.9</f>
        <v>1.7500000000000002E-2</v>
      </c>
      <c r="I41" s="99">
        <f>ROUND($I$16*H41,2)</f>
        <v>0</v>
      </c>
    </row>
    <row r="42" spans="2:9">
      <c r="B42" s="74">
        <v>5</v>
      </c>
      <c r="C42" s="467" t="s">
        <v>104</v>
      </c>
      <c r="D42" s="468"/>
      <c r="E42" s="468"/>
      <c r="F42" s="468"/>
      <c r="G42" s="469"/>
      <c r="H42" s="23">
        <f>H41*$H$30</f>
        <v>6.4400000000000021E-3</v>
      </c>
      <c r="I42" s="99">
        <f>ROUND($I$16*H42,2)</f>
        <v>0</v>
      </c>
    </row>
    <row r="43" spans="2:9">
      <c r="B43" s="74">
        <v>6</v>
      </c>
      <c r="C43" s="467" t="s">
        <v>105</v>
      </c>
      <c r="D43" s="468"/>
      <c r="E43" s="468"/>
      <c r="F43" s="468"/>
      <c r="G43" s="469"/>
      <c r="H43" s="23">
        <v>0.04</v>
      </c>
      <c r="I43" s="99">
        <f>ROUND($I$16*H43,2)</f>
        <v>0</v>
      </c>
    </row>
    <row r="44" spans="2:9">
      <c r="B44" s="442" t="s">
        <v>80</v>
      </c>
      <c r="C44" s="489"/>
      <c r="D44" s="489"/>
      <c r="E44" s="489"/>
      <c r="F44" s="489"/>
      <c r="G44" s="490"/>
      <c r="H44" s="6">
        <f>SUM(H39:H43)</f>
        <v>6.9315000000000002E-2</v>
      </c>
      <c r="I44" s="118">
        <f>SUM(I39:I43)</f>
        <v>0</v>
      </c>
    </row>
    <row r="45" spans="2:9">
      <c r="B45" s="64"/>
      <c r="H45" s="76"/>
      <c r="I45" s="73"/>
    </row>
    <row r="46" spans="2:9">
      <c r="B46" s="112" t="s">
        <v>106</v>
      </c>
      <c r="C46" s="472" t="s">
        <v>107</v>
      </c>
      <c r="D46" s="473"/>
      <c r="E46" s="473"/>
      <c r="F46" s="473"/>
      <c r="G46" s="474"/>
      <c r="H46" s="108"/>
      <c r="I46" s="113" t="s">
        <v>77</v>
      </c>
    </row>
    <row r="47" spans="2:9">
      <c r="B47" s="74">
        <v>1</v>
      </c>
      <c r="C47" s="467" t="s">
        <v>108</v>
      </c>
      <c r="D47" s="468"/>
      <c r="E47" s="468"/>
      <c r="F47" s="468"/>
      <c r="G47" s="468"/>
      <c r="H47" s="469"/>
      <c r="I47" s="233">
        <f>ROUND((I19*9.075%)+(I19*(9.075%)*H30),2)</f>
        <v>0</v>
      </c>
    </row>
    <row r="48" spans="2:9">
      <c r="B48" s="74">
        <v>2</v>
      </c>
      <c r="C48" s="587" t="s">
        <v>109</v>
      </c>
      <c r="D48" s="588"/>
      <c r="E48" s="588"/>
      <c r="F48" s="588"/>
      <c r="G48" s="588"/>
      <c r="H48" s="589"/>
      <c r="I48" s="233">
        <f>ROUND((1/30)/12*(I19+I36+I56+I47+I44+I30),2)</f>
        <v>0</v>
      </c>
    </row>
    <row r="49" spans="2:11">
      <c r="B49" s="74">
        <v>3</v>
      </c>
      <c r="C49" s="587" t="s">
        <v>110</v>
      </c>
      <c r="D49" s="588"/>
      <c r="E49" s="588"/>
      <c r="F49" s="588"/>
      <c r="G49" s="588"/>
      <c r="H49" s="589"/>
      <c r="I49" s="233">
        <f>ROUND((((1/30)*5)/12*(I19+I36+I44+I47+I56+I30)*0.015),2)</f>
        <v>0</v>
      </c>
    </row>
    <row r="50" spans="2:11">
      <c r="B50" s="74">
        <v>4</v>
      </c>
      <c r="C50" s="587" t="s">
        <v>111</v>
      </c>
      <c r="D50" s="588"/>
      <c r="E50" s="588"/>
      <c r="F50" s="588"/>
      <c r="G50" s="588"/>
      <c r="H50" s="589"/>
      <c r="I50" s="233">
        <f>ROUND((((($I$19+I36+I44+I47+I56+I30)/30*0.69)/12)),2)</f>
        <v>0</v>
      </c>
    </row>
    <row r="51" spans="2:11">
      <c r="B51" s="74">
        <v>5</v>
      </c>
      <c r="C51" s="587" t="s">
        <v>112</v>
      </c>
      <c r="D51" s="588"/>
      <c r="E51" s="588"/>
      <c r="F51" s="588"/>
      <c r="G51" s="588"/>
      <c r="H51" s="589"/>
      <c r="I51" s="234">
        <f>ROUND((((($I$19*0.121)+(H30)*(I19*0.121))*(4/12)))*0.02,2) + ((H27*I19 + H30*I33 + I56 + I44)*4/12)*0.02</f>
        <v>0</v>
      </c>
    </row>
    <row r="52" spans="2:11">
      <c r="B52" s="74">
        <v>6</v>
      </c>
      <c r="C52" s="587" t="s">
        <v>113</v>
      </c>
      <c r="D52" s="588"/>
      <c r="E52" s="588"/>
      <c r="F52" s="588"/>
      <c r="G52" s="588"/>
      <c r="H52" s="589"/>
      <c r="I52" s="234">
        <f>ROUND(((3/30)/12)*(I19+I36+I44+I47+I56+I30),2)</f>
        <v>0</v>
      </c>
    </row>
    <row r="53" spans="2:11">
      <c r="B53" s="442" t="s">
        <v>80</v>
      </c>
      <c r="C53" s="489"/>
      <c r="D53" s="489"/>
      <c r="E53" s="489"/>
      <c r="F53" s="489"/>
      <c r="G53" s="490"/>
      <c r="H53" s="6"/>
      <c r="I53" s="117">
        <f>SUM(I47:I52)</f>
        <v>0</v>
      </c>
    </row>
    <row r="54" spans="2:11">
      <c r="B54" s="72"/>
      <c r="H54" s="77"/>
      <c r="I54" s="73"/>
    </row>
    <row r="55" spans="2:11">
      <c r="B55" s="112" t="s">
        <v>114</v>
      </c>
      <c r="C55" s="472" t="s">
        <v>115</v>
      </c>
      <c r="D55" s="473"/>
      <c r="E55" s="473"/>
      <c r="F55" s="473"/>
      <c r="G55" s="473"/>
      <c r="H55" s="474"/>
      <c r="I55" s="113" t="s">
        <v>77</v>
      </c>
    </row>
    <row r="56" spans="2:11">
      <c r="B56" s="74">
        <v>1</v>
      </c>
      <c r="C56" s="425" t="s">
        <v>116</v>
      </c>
      <c r="D56" s="426"/>
      <c r="E56" s="426"/>
      <c r="F56" s="426"/>
      <c r="G56" s="426"/>
      <c r="H56" s="427"/>
      <c r="I56" s="120">
        <v>0</v>
      </c>
    </row>
    <row r="57" spans="2:11">
      <c r="B57" s="74">
        <v>2</v>
      </c>
      <c r="C57" s="310" t="s">
        <v>117</v>
      </c>
      <c r="D57" s="310"/>
      <c r="E57" s="310"/>
      <c r="F57" s="310"/>
      <c r="G57" s="310"/>
      <c r="H57" s="311"/>
      <c r="I57" s="120">
        <v>0</v>
      </c>
    </row>
    <row r="58" spans="2:11">
      <c r="B58" s="442" t="s">
        <v>80</v>
      </c>
      <c r="C58" s="489"/>
      <c r="D58" s="489"/>
      <c r="E58" s="489"/>
      <c r="F58" s="489"/>
      <c r="G58" s="489"/>
      <c r="H58" s="490"/>
      <c r="I58" s="118">
        <f>SUM(I56:I57)</f>
        <v>0</v>
      </c>
    </row>
    <row r="59" spans="2:11">
      <c r="B59" s="72"/>
      <c r="H59" s="76"/>
      <c r="I59" s="73"/>
    </row>
    <row r="60" spans="2:11">
      <c r="B60" s="438" t="s">
        <v>118</v>
      </c>
      <c r="C60" s="470"/>
      <c r="D60" s="470"/>
      <c r="E60" s="470"/>
      <c r="F60" s="470"/>
      <c r="G60" s="470"/>
      <c r="H60" s="471"/>
      <c r="I60" s="124">
        <f>I58+I53+I44+I36+I30+I19</f>
        <v>0</v>
      </c>
      <c r="J60" s="3"/>
      <c r="K60" s="5"/>
    </row>
    <row r="61" spans="2:11">
      <c r="B61" s="72"/>
      <c r="H61" s="65"/>
      <c r="I61" s="73"/>
    </row>
    <row r="62" spans="2:11">
      <c r="B62" s="439" t="s">
        <v>119</v>
      </c>
      <c r="C62" s="440"/>
      <c r="D62" s="440"/>
      <c r="E62" s="440"/>
      <c r="F62" s="440"/>
      <c r="G62" s="440"/>
      <c r="H62" s="440"/>
      <c r="I62" s="441"/>
    </row>
    <row r="63" spans="2:11">
      <c r="B63" s="72"/>
      <c r="H63" s="65"/>
      <c r="I63" s="73"/>
    </row>
    <row r="64" spans="2:11">
      <c r="B64" s="112" t="s">
        <v>75</v>
      </c>
      <c r="C64" s="472" t="s">
        <v>120</v>
      </c>
      <c r="D64" s="473"/>
      <c r="E64" s="473"/>
      <c r="F64" s="473"/>
      <c r="G64" s="473"/>
      <c r="H64" s="590"/>
      <c r="I64" s="113" t="s">
        <v>77</v>
      </c>
    </row>
    <row r="65" spans="2:10">
      <c r="B65" s="74">
        <v>1</v>
      </c>
      <c r="C65" s="450" t="s">
        <v>121</v>
      </c>
      <c r="D65" s="429"/>
      <c r="E65" s="429"/>
      <c r="F65" s="429"/>
      <c r="G65" s="451"/>
      <c r="H65" s="235">
        <f>UNIFORMES_EQUIPAMENTOS!C20</f>
        <v>0</v>
      </c>
      <c r="I65" s="238">
        <f>H65*1</f>
        <v>0</v>
      </c>
      <c r="J65" s="3"/>
    </row>
    <row r="66" spans="2:10">
      <c r="B66" s="74">
        <v>2</v>
      </c>
      <c r="C66" s="450" t="s">
        <v>122</v>
      </c>
      <c r="D66" s="429"/>
      <c r="E66" s="429"/>
      <c r="F66" s="429"/>
      <c r="G66" s="429"/>
      <c r="H66" s="235">
        <f>UNIFORMES_EQUIPAMENTOS!H29</f>
        <v>0</v>
      </c>
      <c r="I66" s="238">
        <f>H66*1</f>
        <v>0</v>
      </c>
      <c r="J66" s="3"/>
    </row>
    <row r="67" spans="2:10">
      <c r="B67" s="74">
        <v>3</v>
      </c>
      <c r="C67" s="450" t="s">
        <v>123</v>
      </c>
      <c r="D67" s="429"/>
      <c r="E67" s="429"/>
      <c r="F67" s="429"/>
      <c r="G67" s="429"/>
      <c r="H67" s="250">
        <v>0.05</v>
      </c>
      <c r="I67" s="238">
        <f>(I60+I65+I66)*H67</f>
        <v>0</v>
      </c>
      <c r="J67" s="3"/>
    </row>
    <row r="68" spans="2:10">
      <c r="B68" s="74">
        <v>4</v>
      </c>
      <c r="C68" s="450" t="s">
        <v>124</v>
      </c>
      <c r="D68" s="429"/>
      <c r="E68" s="429"/>
      <c r="F68" s="429"/>
      <c r="G68" s="429"/>
      <c r="H68" s="250">
        <v>0.1</v>
      </c>
      <c r="I68" s="238">
        <f>(I60+I65+I66+I67)*H68</f>
        <v>0</v>
      </c>
      <c r="J68" s="3"/>
    </row>
    <row r="69" spans="2:10">
      <c r="B69" s="438" t="s">
        <v>125</v>
      </c>
      <c r="C69" s="470"/>
      <c r="D69" s="470"/>
      <c r="E69" s="470"/>
      <c r="F69" s="470"/>
      <c r="G69" s="470"/>
      <c r="H69" s="471"/>
      <c r="I69" s="126">
        <f>SUM(I65:I68)</f>
        <v>0</v>
      </c>
    </row>
    <row r="70" spans="2:10">
      <c r="B70" s="72"/>
      <c r="H70" s="65"/>
      <c r="I70" s="73"/>
    </row>
    <row r="71" spans="2:10">
      <c r="B71" s="439" t="s">
        <v>126</v>
      </c>
      <c r="C71" s="440"/>
      <c r="D71" s="440"/>
      <c r="E71" s="440"/>
      <c r="F71" s="440"/>
      <c r="G71" s="440"/>
      <c r="H71" s="440"/>
      <c r="I71" s="441"/>
    </row>
    <row r="72" spans="2:10">
      <c r="B72" s="72"/>
      <c r="H72" s="65"/>
      <c r="I72" s="73"/>
    </row>
    <row r="73" spans="2:10">
      <c r="B73" s="112" t="s">
        <v>75</v>
      </c>
      <c r="C73" s="472" t="s">
        <v>127</v>
      </c>
      <c r="D73" s="473"/>
      <c r="E73" s="473"/>
      <c r="F73" s="473"/>
      <c r="G73" s="473"/>
      <c r="H73" s="474"/>
      <c r="I73" s="113" t="s">
        <v>77</v>
      </c>
    </row>
    <row r="74" spans="2:10">
      <c r="B74" s="74">
        <v>1</v>
      </c>
      <c r="C74" s="430" t="s">
        <v>128</v>
      </c>
      <c r="D74" s="431"/>
      <c r="E74" s="431"/>
      <c r="F74" s="431"/>
      <c r="G74" s="431"/>
      <c r="H74" s="253">
        <v>0</v>
      </c>
      <c r="I74" s="99">
        <f>(ROUND((44*(H74))-(I11*0.06),2))*1</f>
        <v>0</v>
      </c>
    </row>
    <row r="75" spans="2:10">
      <c r="B75" s="74">
        <v>2</v>
      </c>
      <c r="C75" s="450" t="s">
        <v>129</v>
      </c>
      <c r="D75" s="429"/>
      <c r="E75" s="429"/>
      <c r="F75" s="429"/>
      <c r="G75" s="429"/>
      <c r="H75" s="296">
        <v>0</v>
      </c>
      <c r="I75" s="120">
        <f>(ROUND((H75*22)*0.8,2))</f>
        <v>0</v>
      </c>
    </row>
    <row r="76" spans="2:10">
      <c r="B76" s="74">
        <v>3</v>
      </c>
      <c r="C76" s="450" t="s">
        <v>150</v>
      </c>
      <c r="D76" s="429"/>
      <c r="E76" s="429"/>
      <c r="F76" s="429"/>
      <c r="G76" s="429"/>
      <c r="H76" s="296">
        <v>0</v>
      </c>
      <c r="I76" s="99">
        <f>H76</f>
        <v>0</v>
      </c>
    </row>
    <row r="77" spans="2:10">
      <c r="B77" s="74">
        <v>4</v>
      </c>
      <c r="C77" s="450" t="s">
        <v>131</v>
      </c>
      <c r="D77" s="429"/>
      <c r="E77" s="429"/>
      <c r="F77" s="429"/>
      <c r="G77" s="429"/>
      <c r="H77" s="239">
        <v>339.49</v>
      </c>
      <c r="I77" s="99">
        <f>H77*3.5</f>
        <v>1188.2150000000001</v>
      </c>
    </row>
    <row r="78" spans="2:10">
      <c r="B78" s="591" t="s">
        <v>132</v>
      </c>
      <c r="C78" s="592"/>
      <c r="D78" s="592"/>
      <c r="E78" s="592"/>
      <c r="F78" s="592"/>
      <c r="G78" s="592"/>
      <c r="H78" s="593"/>
      <c r="I78" s="124">
        <f>SUM(I74:I77)</f>
        <v>1188.2150000000001</v>
      </c>
    </row>
    <row r="79" spans="2:10">
      <c r="B79" s="72"/>
      <c r="H79" s="65"/>
      <c r="I79" s="73"/>
    </row>
    <row r="80" spans="2:10">
      <c r="B80" s="439" t="s">
        <v>133</v>
      </c>
      <c r="C80" s="440"/>
      <c r="D80" s="440"/>
      <c r="E80" s="440"/>
      <c r="F80" s="440"/>
      <c r="G80" s="440"/>
      <c r="H80" s="440"/>
      <c r="I80" s="441"/>
    </row>
    <row r="81" spans="2:9">
      <c r="B81" s="72"/>
      <c r="H81" s="65"/>
      <c r="I81" s="73"/>
    </row>
    <row r="82" spans="2:9">
      <c r="B82" s="112" t="s">
        <v>75</v>
      </c>
      <c r="C82" s="472" t="s">
        <v>134</v>
      </c>
      <c r="D82" s="473"/>
      <c r="E82" s="473"/>
      <c r="F82" s="473"/>
      <c r="G82" s="474"/>
      <c r="H82" s="108" t="s">
        <v>83</v>
      </c>
      <c r="I82" s="113" t="s">
        <v>77</v>
      </c>
    </row>
    <row r="83" spans="2:9">
      <c r="B83" s="74">
        <v>1</v>
      </c>
      <c r="C83" s="425" t="s">
        <v>135</v>
      </c>
      <c r="D83" s="426"/>
      <c r="E83" s="426"/>
      <c r="F83" s="426"/>
      <c r="G83" s="427"/>
      <c r="H83" s="249">
        <v>7.5999999999999998E-2</v>
      </c>
      <c r="I83" s="99">
        <f>$I$87/$H$87*H83</f>
        <v>0</v>
      </c>
    </row>
    <row r="84" spans="2:9">
      <c r="B84" s="74">
        <v>2</v>
      </c>
      <c r="C84" s="425" t="s">
        <v>136</v>
      </c>
      <c r="D84" s="426"/>
      <c r="E84" s="426"/>
      <c r="F84" s="426"/>
      <c r="G84" s="427"/>
      <c r="H84" s="249">
        <v>1.6500000000000001E-2</v>
      </c>
      <c r="I84" s="99">
        <f>$I$87/$H$87*H84</f>
        <v>0</v>
      </c>
    </row>
    <row r="85" spans="2:9">
      <c r="B85" s="74">
        <v>3</v>
      </c>
      <c r="C85" s="425" t="s">
        <v>137</v>
      </c>
      <c r="D85" s="426"/>
      <c r="E85" s="426"/>
      <c r="F85" s="426"/>
      <c r="G85" s="427"/>
      <c r="H85" s="249">
        <v>0.05</v>
      </c>
      <c r="I85" s="99">
        <f>$I$87/$H$87*H85</f>
        <v>0</v>
      </c>
    </row>
    <row r="86" spans="2:9">
      <c r="B86" s="193">
        <v>4</v>
      </c>
      <c r="C86" s="425" t="s">
        <v>138</v>
      </c>
      <c r="D86" s="426"/>
      <c r="E86" s="426"/>
      <c r="F86" s="426"/>
      <c r="G86" s="427"/>
      <c r="H86" s="249">
        <v>0</v>
      </c>
      <c r="I86" s="99">
        <f>$I$87/$H$87*H86</f>
        <v>0</v>
      </c>
    </row>
    <row r="87" spans="2:9">
      <c r="B87" s="438" t="s">
        <v>80</v>
      </c>
      <c r="C87" s="470"/>
      <c r="D87" s="470"/>
      <c r="E87" s="470"/>
      <c r="F87" s="470"/>
      <c r="G87" s="471"/>
      <c r="H87" s="128">
        <f>SUM(H83:H86)</f>
        <v>0.14250000000000002</v>
      </c>
      <c r="I87" s="124">
        <f>ROUND(((I60+I69)*$H$87)/(1-$H$87),2)</f>
        <v>0</v>
      </c>
    </row>
    <row r="88" spans="2:9">
      <c r="B88" s="72"/>
      <c r="H88" s="65"/>
      <c r="I88" s="73"/>
    </row>
    <row r="89" spans="2:9">
      <c r="B89" s="112" t="s">
        <v>75</v>
      </c>
      <c r="C89" s="472" t="s">
        <v>139</v>
      </c>
      <c r="D89" s="473"/>
      <c r="E89" s="473"/>
      <c r="F89" s="473"/>
      <c r="G89" s="474"/>
      <c r="H89" s="108" t="s">
        <v>83</v>
      </c>
      <c r="I89" s="113" t="s">
        <v>77</v>
      </c>
    </row>
    <row r="90" spans="2:9">
      <c r="B90" s="74">
        <v>1</v>
      </c>
      <c r="C90" s="425" t="s">
        <v>135</v>
      </c>
      <c r="D90" s="426"/>
      <c r="E90" s="426"/>
      <c r="F90" s="426"/>
      <c r="G90" s="427"/>
      <c r="H90" s="249">
        <v>7.5999999999999998E-2</v>
      </c>
      <c r="I90" s="99">
        <f>$I$94/$H$94*H90</f>
        <v>105.31199999999998</v>
      </c>
    </row>
    <row r="91" spans="2:9">
      <c r="B91" s="74">
        <v>2</v>
      </c>
      <c r="C91" s="425" t="s">
        <v>136</v>
      </c>
      <c r="D91" s="426"/>
      <c r="E91" s="426"/>
      <c r="F91" s="426"/>
      <c r="G91" s="427"/>
      <c r="H91" s="249">
        <v>1.6500000000000001E-2</v>
      </c>
      <c r="I91" s="99">
        <f>$I$94/$H$94*H91</f>
        <v>22.863789473684207</v>
      </c>
    </row>
    <row r="92" spans="2:9">
      <c r="B92" s="74">
        <v>3</v>
      </c>
      <c r="C92" s="425" t="s">
        <v>137</v>
      </c>
      <c r="D92" s="426"/>
      <c r="E92" s="426"/>
      <c r="F92" s="426"/>
      <c r="G92" s="427"/>
      <c r="H92" s="249">
        <v>0.05</v>
      </c>
      <c r="I92" s="99">
        <f>$I$94/$H$94*H92</f>
        <v>69.284210526315789</v>
      </c>
    </row>
    <row r="93" spans="2:9">
      <c r="B93" s="193">
        <v>4</v>
      </c>
      <c r="C93" s="425" t="s">
        <v>138</v>
      </c>
      <c r="D93" s="426"/>
      <c r="E93" s="426"/>
      <c r="F93" s="426"/>
      <c r="G93" s="427"/>
      <c r="H93" s="249">
        <v>0</v>
      </c>
      <c r="I93" s="99">
        <f>$I$94/$H$94*H93</f>
        <v>0</v>
      </c>
    </row>
    <row r="94" spans="2:9">
      <c r="B94" s="438" t="s">
        <v>80</v>
      </c>
      <c r="C94" s="470"/>
      <c r="D94" s="470"/>
      <c r="E94" s="470"/>
      <c r="F94" s="470"/>
      <c r="G94" s="471"/>
      <c r="H94" s="128">
        <f>SUM(H90:H93)</f>
        <v>0.14250000000000002</v>
      </c>
      <c r="I94" s="124">
        <f>ROUND(((I78)*$H$87)/(1-$H$87),2)</f>
        <v>197.46</v>
      </c>
    </row>
    <row r="95" spans="2:9">
      <c r="B95" s="72"/>
      <c r="H95" s="65"/>
      <c r="I95" s="122"/>
    </row>
    <row r="96" spans="2:9">
      <c r="B96" s="438" t="s">
        <v>140</v>
      </c>
      <c r="C96" s="470"/>
      <c r="D96" s="470"/>
      <c r="E96" s="470"/>
      <c r="F96" s="470"/>
      <c r="G96" s="470"/>
      <c r="H96" s="471"/>
      <c r="I96" s="124">
        <f>I94+I87</f>
        <v>197.46</v>
      </c>
    </row>
    <row r="97" spans="2:11">
      <c r="B97" s="72"/>
      <c r="H97" s="65"/>
      <c r="I97" s="73"/>
    </row>
    <row r="98" spans="2:11">
      <c r="B98" s="439" t="s">
        <v>36</v>
      </c>
      <c r="C98" s="440"/>
      <c r="D98" s="440"/>
      <c r="E98" s="440"/>
      <c r="F98" s="440"/>
      <c r="G98" s="440"/>
      <c r="H98" s="440"/>
      <c r="I98" s="441"/>
    </row>
    <row r="99" spans="2:11">
      <c r="B99" s="72"/>
      <c r="H99" s="65"/>
      <c r="I99" s="73"/>
    </row>
    <row r="100" spans="2:11">
      <c r="B100" s="438" t="s">
        <v>141</v>
      </c>
      <c r="C100" s="470"/>
      <c r="D100" s="470"/>
      <c r="E100" s="470"/>
      <c r="F100" s="470"/>
      <c r="G100" s="470"/>
      <c r="H100" s="471"/>
      <c r="I100" s="124">
        <f>I60+I69+I87</f>
        <v>0</v>
      </c>
      <c r="K100" s="12"/>
    </row>
    <row r="101" spans="2:11">
      <c r="B101" s="78"/>
      <c r="C101" s="79"/>
      <c r="D101" s="79"/>
      <c r="E101" s="79"/>
      <c r="F101" s="79"/>
      <c r="G101" s="79"/>
      <c r="H101" s="80"/>
      <c r="I101" s="122"/>
    </row>
    <row r="102" spans="2:11">
      <c r="B102" s="438" t="s">
        <v>142</v>
      </c>
      <c r="C102" s="470"/>
      <c r="D102" s="470"/>
      <c r="E102" s="470"/>
      <c r="F102" s="470"/>
      <c r="G102" s="470"/>
      <c r="H102" s="471"/>
      <c r="I102" s="124">
        <f>I78+I94</f>
        <v>1385.6750000000002</v>
      </c>
    </row>
    <row r="103" spans="2:11">
      <c r="B103" s="78"/>
      <c r="C103" s="79"/>
      <c r="D103" s="79"/>
      <c r="E103" s="79"/>
      <c r="F103" s="79"/>
      <c r="G103" s="79"/>
      <c r="H103" s="80"/>
      <c r="I103" s="122"/>
    </row>
    <row r="104" spans="2:11" ht="15.75" thickBot="1">
      <c r="B104" s="452" t="s">
        <v>143</v>
      </c>
      <c r="C104" s="453"/>
      <c r="D104" s="453"/>
      <c r="E104" s="453"/>
      <c r="F104" s="453"/>
      <c r="G104" s="453"/>
      <c r="H104" s="454"/>
      <c r="I104" s="236">
        <f>I60+I69+I78+I96</f>
        <v>1385.6750000000002</v>
      </c>
    </row>
    <row r="106" spans="2:11">
      <c r="B106" s="397"/>
      <c r="C106" s="397"/>
      <c r="D106" s="397"/>
      <c r="E106" s="397"/>
      <c r="F106" s="397"/>
      <c r="G106" s="397"/>
    </row>
    <row r="107" spans="2:11">
      <c r="E107" s="394"/>
      <c r="F107" s="394"/>
      <c r="G107" s="394"/>
      <c r="H107" s="394"/>
      <c r="I107" s="394"/>
    </row>
    <row r="108" spans="2:11" ht="18">
      <c r="E108" s="395"/>
      <c r="F108" s="395"/>
      <c r="G108" s="396"/>
      <c r="H108" s="396"/>
      <c r="I108" s="396"/>
    </row>
  </sheetData>
  <sheetProtection selectLockedCells="1"/>
  <mergeCells count="83">
    <mergeCell ref="C25:G25"/>
    <mergeCell ref="B8:I8"/>
    <mergeCell ref="B9:I9"/>
    <mergeCell ref="B11:H11"/>
    <mergeCell ref="B13:I13"/>
    <mergeCell ref="C15:H15"/>
    <mergeCell ref="C16:H16"/>
    <mergeCell ref="B19:H19"/>
    <mergeCell ref="C21:G21"/>
    <mergeCell ref="C22:G22"/>
    <mergeCell ref="C23:G23"/>
    <mergeCell ref="C24:G24"/>
    <mergeCell ref="C18:H18"/>
    <mergeCell ref="B1:I1"/>
    <mergeCell ref="B7:I7"/>
    <mergeCell ref="B2:I2"/>
    <mergeCell ref="B5:I5"/>
    <mergeCell ref="B6:I6"/>
    <mergeCell ref="B60:H60"/>
    <mergeCell ref="B62:I62"/>
    <mergeCell ref="C64:H64"/>
    <mergeCell ref="C40:G40"/>
    <mergeCell ref="C26:G26"/>
    <mergeCell ref="C27:G27"/>
    <mergeCell ref="C29:G29"/>
    <mergeCell ref="B30:G30"/>
    <mergeCell ref="C32:G32"/>
    <mergeCell ref="C33:G33"/>
    <mergeCell ref="C34:G34"/>
    <mergeCell ref="C35:G35"/>
    <mergeCell ref="B36:G36"/>
    <mergeCell ref="C38:G38"/>
    <mergeCell ref="C39:G39"/>
    <mergeCell ref="C47:H47"/>
    <mergeCell ref="C48:H48"/>
    <mergeCell ref="C49:H49"/>
    <mergeCell ref="C50:H50"/>
    <mergeCell ref="B58:H58"/>
    <mergeCell ref="C41:G41"/>
    <mergeCell ref="C42:G42"/>
    <mergeCell ref="C43:G43"/>
    <mergeCell ref="B44:G44"/>
    <mergeCell ref="C46:G46"/>
    <mergeCell ref="C51:H51"/>
    <mergeCell ref="C52:H52"/>
    <mergeCell ref="B53:G53"/>
    <mergeCell ref="C55:H55"/>
    <mergeCell ref="C56:H56"/>
    <mergeCell ref="E108:F108"/>
    <mergeCell ref="G108:I108"/>
    <mergeCell ref="B102:H102"/>
    <mergeCell ref="C84:G84"/>
    <mergeCell ref="C85:G85"/>
    <mergeCell ref="B87:G87"/>
    <mergeCell ref="C89:G89"/>
    <mergeCell ref="C90:G90"/>
    <mergeCell ref="C91:G91"/>
    <mergeCell ref="C92:G92"/>
    <mergeCell ref="B94:G94"/>
    <mergeCell ref="B96:H96"/>
    <mergeCell ref="B98:I98"/>
    <mergeCell ref="B100:H100"/>
    <mergeCell ref="B104:H104"/>
    <mergeCell ref="B106:G106"/>
    <mergeCell ref="E107:F107"/>
    <mergeCell ref="G107:I107"/>
    <mergeCell ref="C83:G83"/>
    <mergeCell ref="B69:H69"/>
    <mergeCell ref="B71:I71"/>
    <mergeCell ref="C73:H73"/>
    <mergeCell ref="B78:H78"/>
    <mergeCell ref="B80:I80"/>
    <mergeCell ref="C82:G82"/>
    <mergeCell ref="C86:G86"/>
    <mergeCell ref="C93:G93"/>
    <mergeCell ref="C65:G65"/>
    <mergeCell ref="C66:G66"/>
    <mergeCell ref="C67:G67"/>
    <mergeCell ref="C68:G68"/>
    <mergeCell ref="C77:G77"/>
    <mergeCell ref="C75:G75"/>
    <mergeCell ref="C76:G76"/>
    <mergeCell ref="C74:G74"/>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B1:K109"/>
  <sheetViews>
    <sheetView zoomScaleNormal="100" workbookViewId="0">
      <selection activeCell="H34" sqref="H34"/>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s>
  <sheetData>
    <row r="1" spans="2:9" ht="44.25" customHeight="1" thickBot="1">
      <c r="B1" s="403" t="s">
        <v>168</v>
      </c>
      <c r="C1" s="403"/>
      <c r="D1" s="403"/>
      <c r="E1" s="403"/>
      <c r="F1" s="403"/>
      <c r="G1" s="403"/>
      <c r="H1" s="403"/>
      <c r="I1" s="403"/>
    </row>
    <row r="2" spans="2:9" ht="30" customHeight="1">
      <c r="B2" s="446" t="s">
        <v>67</v>
      </c>
      <c r="C2" s="447"/>
      <c r="D2" s="447"/>
      <c r="E2" s="447"/>
      <c r="F2" s="447"/>
      <c r="G2" s="447"/>
      <c r="H2" s="447"/>
      <c r="I2" s="448"/>
    </row>
    <row r="3" spans="2:9">
      <c r="B3" s="64"/>
      <c r="H3" s="65"/>
      <c r="I3" s="66"/>
    </row>
    <row r="4" spans="2:9">
      <c r="B4" s="67"/>
      <c r="C4" s="68"/>
      <c r="D4" s="68"/>
      <c r="E4" s="68"/>
      <c r="F4" s="68"/>
      <c r="G4" s="68"/>
      <c r="H4" s="69"/>
      <c r="I4" s="70"/>
    </row>
    <row r="5" spans="2:9">
      <c r="B5" s="434" t="s">
        <v>68</v>
      </c>
      <c r="C5" s="435"/>
      <c r="D5" s="435"/>
      <c r="E5" s="435"/>
      <c r="F5" s="435"/>
      <c r="G5" s="435"/>
      <c r="H5" s="435"/>
      <c r="I5" s="436"/>
    </row>
    <row r="6" spans="2:9">
      <c r="B6" s="434" t="s">
        <v>169</v>
      </c>
      <c r="C6" s="435"/>
      <c r="D6" s="435"/>
      <c r="E6" s="435"/>
      <c r="F6" s="435"/>
      <c r="G6" s="435"/>
      <c r="H6" s="435"/>
      <c r="I6" s="436"/>
    </row>
    <row r="7" spans="2:9">
      <c r="B7" s="434" t="s">
        <v>170</v>
      </c>
      <c r="C7" s="435"/>
      <c r="D7" s="435"/>
      <c r="E7" s="435"/>
      <c r="F7" s="435"/>
      <c r="G7" s="435"/>
      <c r="H7" s="435"/>
      <c r="I7" s="436"/>
    </row>
    <row r="8" spans="2:9">
      <c r="B8" s="442" t="s">
        <v>71</v>
      </c>
      <c r="C8" s="489"/>
      <c r="D8" s="489"/>
      <c r="E8" s="489"/>
      <c r="F8" s="489"/>
      <c r="G8" s="489"/>
      <c r="H8" s="489"/>
      <c r="I8" s="449"/>
    </row>
    <row r="9" spans="2:9">
      <c r="B9" s="455" t="s">
        <v>171</v>
      </c>
      <c r="C9" s="437"/>
      <c r="D9" s="437"/>
      <c r="E9" s="437"/>
      <c r="F9" s="437"/>
      <c r="G9" s="437"/>
      <c r="H9" s="437"/>
      <c r="I9" s="456"/>
    </row>
    <row r="10" spans="2:9">
      <c r="B10" s="67"/>
      <c r="C10" s="68"/>
      <c r="D10" s="68"/>
      <c r="E10" s="68"/>
      <c r="F10" s="68"/>
      <c r="G10" s="68"/>
      <c r="H10" s="69"/>
      <c r="I10" s="70"/>
    </row>
    <row r="11" spans="2:9">
      <c r="B11" s="442" t="s">
        <v>165</v>
      </c>
      <c r="C11" s="489"/>
      <c r="D11" s="489"/>
      <c r="E11" s="489"/>
      <c r="F11" s="489"/>
      <c r="G11" s="489"/>
      <c r="H11" s="490"/>
      <c r="I11" s="71">
        <v>0</v>
      </c>
    </row>
    <row r="12" spans="2:9">
      <c r="B12" s="72"/>
      <c r="H12" s="65"/>
      <c r="I12" s="73"/>
    </row>
    <row r="13" spans="2:9">
      <c r="B13" s="439" t="s">
        <v>74</v>
      </c>
      <c r="C13" s="440"/>
      <c r="D13" s="440"/>
      <c r="E13" s="440"/>
      <c r="F13" s="440"/>
      <c r="G13" s="440"/>
      <c r="H13" s="440"/>
      <c r="I13" s="441"/>
    </row>
    <row r="14" spans="2:9">
      <c r="B14" s="72"/>
      <c r="H14" s="65"/>
      <c r="I14" s="73"/>
    </row>
    <row r="15" spans="2:9">
      <c r="B15" s="112" t="s">
        <v>75</v>
      </c>
      <c r="C15" s="472" t="s">
        <v>76</v>
      </c>
      <c r="D15" s="473"/>
      <c r="E15" s="473"/>
      <c r="F15" s="473"/>
      <c r="G15" s="473"/>
      <c r="H15" s="474"/>
      <c r="I15" s="113" t="s">
        <v>77</v>
      </c>
    </row>
    <row r="16" spans="2:9">
      <c r="B16" s="74">
        <v>1</v>
      </c>
      <c r="C16" s="584" t="s">
        <v>78</v>
      </c>
      <c r="D16" s="585"/>
      <c r="E16" s="585"/>
      <c r="F16" s="585"/>
      <c r="G16" s="585"/>
      <c r="H16" s="586"/>
      <c r="I16" s="116">
        <f>I11</f>
        <v>0</v>
      </c>
    </row>
    <row r="17" spans="2:9">
      <c r="B17" s="438" t="s">
        <v>80</v>
      </c>
      <c r="C17" s="470"/>
      <c r="D17" s="470"/>
      <c r="E17" s="470"/>
      <c r="F17" s="470"/>
      <c r="G17" s="470"/>
      <c r="H17" s="471"/>
      <c r="I17" s="126">
        <f>SUM(I16:I16)</f>
        <v>0</v>
      </c>
    </row>
    <row r="18" spans="2:9">
      <c r="B18" s="72"/>
      <c r="H18" s="76"/>
      <c r="I18" s="73"/>
    </row>
    <row r="19" spans="2:9">
      <c r="B19" s="112" t="s">
        <v>81</v>
      </c>
      <c r="C19" s="472" t="s">
        <v>82</v>
      </c>
      <c r="D19" s="473"/>
      <c r="E19" s="473"/>
      <c r="F19" s="473"/>
      <c r="G19" s="474"/>
      <c r="H19" s="108" t="s">
        <v>83</v>
      </c>
      <c r="I19" s="113" t="s">
        <v>77</v>
      </c>
    </row>
    <row r="20" spans="2:9">
      <c r="B20" s="74">
        <v>1</v>
      </c>
      <c r="C20" s="425" t="s">
        <v>84</v>
      </c>
      <c r="D20" s="426"/>
      <c r="E20" s="426"/>
      <c r="F20" s="426"/>
      <c r="G20" s="427"/>
      <c r="H20" s="249">
        <v>0.2</v>
      </c>
      <c r="I20" s="99">
        <f>ROUND($I$17*H20,2)</f>
        <v>0</v>
      </c>
    </row>
    <row r="21" spans="2:9">
      <c r="B21" s="74">
        <v>2</v>
      </c>
      <c r="C21" s="425" t="s">
        <v>85</v>
      </c>
      <c r="D21" s="426"/>
      <c r="E21" s="426"/>
      <c r="F21" s="426"/>
      <c r="G21" s="427"/>
      <c r="H21" s="249">
        <v>1.4999999999999999E-2</v>
      </c>
      <c r="I21" s="99">
        <f t="shared" ref="I21:I27" si="0">ROUND($I$17*H21,2)</f>
        <v>0</v>
      </c>
    </row>
    <row r="22" spans="2:9">
      <c r="B22" s="74">
        <v>3</v>
      </c>
      <c r="C22" s="425" t="s">
        <v>86</v>
      </c>
      <c r="D22" s="426"/>
      <c r="E22" s="426"/>
      <c r="F22" s="426"/>
      <c r="G22" s="427"/>
      <c r="H22" s="249">
        <v>0.01</v>
      </c>
      <c r="I22" s="99">
        <f t="shared" si="0"/>
        <v>0</v>
      </c>
    </row>
    <row r="23" spans="2:9">
      <c r="B23" s="74">
        <v>4</v>
      </c>
      <c r="C23" s="425" t="s">
        <v>87</v>
      </c>
      <c r="D23" s="426"/>
      <c r="E23" s="426"/>
      <c r="F23" s="426"/>
      <c r="G23" s="427"/>
      <c r="H23" s="249">
        <v>2E-3</v>
      </c>
      <c r="I23" s="99">
        <f t="shared" si="0"/>
        <v>0</v>
      </c>
    </row>
    <row r="24" spans="2:9">
      <c r="B24" s="74">
        <v>5</v>
      </c>
      <c r="C24" s="425" t="s">
        <v>88</v>
      </c>
      <c r="D24" s="426"/>
      <c r="E24" s="426"/>
      <c r="F24" s="426"/>
      <c r="G24" s="427"/>
      <c r="H24" s="249">
        <v>2.5000000000000001E-2</v>
      </c>
      <c r="I24" s="99">
        <f t="shared" si="0"/>
        <v>0</v>
      </c>
    </row>
    <row r="25" spans="2:9">
      <c r="B25" s="74">
        <v>6</v>
      </c>
      <c r="C25" s="425" t="s">
        <v>89</v>
      </c>
      <c r="D25" s="426"/>
      <c r="E25" s="426"/>
      <c r="F25" s="426"/>
      <c r="G25" s="427"/>
      <c r="H25" s="249">
        <v>0.08</v>
      </c>
      <c r="I25" s="99">
        <f t="shared" si="0"/>
        <v>0</v>
      </c>
    </row>
    <row r="26" spans="2:9">
      <c r="B26" s="74">
        <v>7</v>
      </c>
      <c r="C26" s="1" t="s">
        <v>90</v>
      </c>
      <c r="D26" s="305" t="s">
        <v>91</v>
      </c>
      <c r="E26" s="306">
        <v>0.03</v>
      </c>
      <c r="F26" s="305" t="s">
        <v>92</v>
      </c>
      <c r="G26" s="307">
        <v>1</v>
      </c>
      <c r="H26" s="249">
        <f>E26*G26</f>
        <v>0.03</v>
      </c>
      <c r="I26" s="99">
        <f t="shared" si="0"/>
        <v>0</v>
      </c>
    </row>
    <row r="27" spans="2:9">
      <c r="B27" s="74">
        <v>8</v>
      </c>
      <c r="C27" s="425" t="s">
        <v>93</v>
      </c>
      <c r="D27" s="426"/>
      <c r="E27" s="426"/>
      <c r="F27" s="426"/>
      <c r="G27" s="427"/>
      <c r="H27" s="249">
        <v>6.0000000000000001E-3</v>
      </c>
      <c r="I27" s="99">
        <f t="shared" si="0"/>
        <v>0</v>
      </c>
    </row>
    <row r="28" spans="2:9">
      <c r="B28" s="438" t="s">
        <v>80</v>
      </c>
      <c r="C28" s="470"/>
      <c r="D28" s="470"/>
      <c r="E28" s="470"/>
      <c r="F28" s="470"/>
      <c r="G28" s="471"/>
      <c r="H28" s="128">
        <f>SUM(H20:H27)</f>
        <v>0.3680000000000001</v>
      </c>
      <c r="I28" s="124">
        <f>SUM(I20:I27)</f>
        <v>0</v>
      </c>
    </row>
    <row r="29" spans="2:9">
      <c r="B29" s="72"/>
      <c r="H29" s="76"/>
      <c r="I29" s="73"/>
    </row>
    <row r="30" spans="2:9">
      <c r="B30" s="112" t="s">
        <v>94</v>
      </c>
      <c r="C30" s="472" t="s">
        <v>95</v>
      </c>
      <c r="D30" s="473"/>
      <c r="E30" s="473"/>
      <c r="F30" s="473"/>
      <c r="G30" s="474"/>
      <c r="H30" s="108" t="s">
        <v>83</v>
      </c>
      <c r="I30" s="113" t="s">
        <v>77</v>
      </c>
    </row>
    <row r="31" spans="2:9">
      <c r="B31" s="74">
        <v>1</v>
      </c>
      <c r="C31" s="425" t="s">
        <v>96</v>
      </c>
      <c r="D31" s="426"/>
      <c r="E31" s="426"/>
      <c r="F31" s="426"/>
      <c r="G31" s="427"/>
      <c r="H31" s="225">
        <f>ROUND(1/12,4)</f>
        <v>8.3299999999999999E-2</v>
      </c>
      <c r="I31" s="99">
        <f>ROUND($I$17*H31,2)</f>
        <v>0</v>
      </c>
    </row>
    <row r="32" spans="2:9">
      <c r="B32" s="74">
        <v>2</v>
      </c>
      <c r="C32" s="425" t="s">
        <v>97</v>
      </c>
      <c r="D32" s="426"/>
      <c r="E32" s="426"/>
      <c r="F32" s="426"/>
      <c r="G32" s="427"/>
      <c r="H32" s="231">
        <v>3.0249999999999999E-2</v>
      </c>
      <c r="I32" s="99">
        <f>ROUND($I$17*H32,2)</f>
        <v>0</v>
      </c>
    </row>
    <row r="33" spans="2:9">
      <c r="B33" s="74">
        <v>3</v>
      </c>
      <c r="C33" s="425" t="s">
        <v>98</v>
      </c>
      <c r="D33" s="426"/>
      <c r="E33" s="426"/>
      <c r="F33" s="426"/>
      <c r="G33" s="427"/>
      <c r="H33" s="232">
        <f>ROUND((H31+H32)*H28,4)</f>
        <v>4.1799999999999997E-2</v>
      </c>
      <c r="I33" s="99">
        <f>ROUND($I$17*H33,2)</f>
        <v>0</v>
      </c>
    </row>
    <row r="34" spans="2:9">
      <c r="B34" s="438" t="s">
        <v>80</v>
      </c>
      <c r="C34" s="470"/>
      <c r="D34" s="470"/>
      <c r="E34" s="470"/>
      <c r="F34" s="470"/>
      <c r="G34" s="471"/>
      <c r="H34" s="128">
        <f>SUM(H31:H33)</f>
        <v>0.15534999999999999</v>
      </c>
      <c r="I34" s="124">
        <f>SUM(I31:I33)</f>
        <v>0</v>
      </c>
    </row>
    <row r="35" spans="2:9">
      <c r="B35" s="72"/>
      <c r="H35" s="76"/>
      <c r="I35" s="73"/>
    </row>
    <row r="36" spans="2:9">
      <c r="B36" s="112" t="s">
        <v>99</v>
      </c>
      <c r="C36" s="472" t="s">
        <v>100</v>
      </c>
      <c r="D36" s="473"/>
      <c r="E36" s="473"/>
      <c r="F36" s="473"/>
      <c r="G36" s="474"/>
      <c r="H36" s="115" t="s">
        <v>83</v>
      </c>
      <c r="I36" s="113" t="s">
        <v>77</v>
      </c>
    </row>
    <row r="37" spans="2:9">
      <c r="B37" s="74">
        <v>1</v>
      </c>
      <c r="C37" s="467" t="s">
        <v>101</v>
      </c>
      <c r="D37" s="468"/>
      <c r="E37" s="468"/>
      <c r="F37" s="468"/>
      <c r="G37" s="469"/>
      <c r="H37" s="22">
        <f>(1+(1/12)+(1/12)+(1/12/3))/12*0.05</f>
        <v>4.9768518518518512E-3</v>
      </c>
      <c r="I37" s="99">
        <f>ROUND($I$17*H37,2)</f>
        <v>0</v>
      </c>
    </row>
    <row r="38" spans="2:9">
      <c r="B38" s="74">
        <v>2</v>
      </c>
      <c r="C38" s="465" t="s">
        <v>102</v>
      </c>
      <c r="D38" s="466"/>
      <c r="E38" s="466"/>
      <c r="F38" s="466"/>
      <c r="G38" s="475"/>
      <c r="H38" s="22">
        <f>H37*0.08</f>
        <v>3.9814814814814812E-4</v>
      </c>
      <c r="I38" s="99">
        <f>ROUND($I$17*H38,2)</f>
        <v>0</v>
      </c>
    </row>
    <row r="39" spans="2:9">
      <c r="B39" s="74">
        <v>3</v>
      </c>
      <c r="C39" s="467" t="s">
        <v>103</v>
      </c>
      <c r="D39" s="468"/>
      <c r="E39" s="468"/>
      <c r="F39" s="468"/>
      <c r="G39" s="469"/>
      <c r="H39" s="23">
        <f>(7/30/12)*0.9</f>
        <v>1.7500000000000002E-2</v>
      </c>
      <c r="I39" s="99">
        <f>ROUND($I$17*H39,2)</f>
        <v>0</v>
      </c>
    </row>
    <row r="40" spans="2:9">
      <c r="B40" s="74">
        <v>4</v>
      </c>
      <c r="C40" s="467" t="s">
        <v>104</v>
      </c>
      <c r="D40" s="468"/>
      <c r="E40" s="468"/>
      <c r="F40" s="468"/>
      <c r="G40" s="469"/>
      <c r="H40" s="23">
        <f>H39*$H$28</f>
        <v>6.4400000000000021E-3</v>
      </c>
      <c r="I40" s="99">
        <f>ROUND($I$17*H40,2)</f>
        <v>0</v>
      </c>
    </row>
    <row r="41" spans="2:9">
      <c r="B41" s="74">
        <v>5</v>
      </c>
      <c r="C41" s="467" t="s">
        <v>105</v>
      </c>
      <c r="D41" s="468"/>
      <c r="E41" s="468"/>
      <c r="F41" s="468"/>
      <c r="G41" s="469"/>
      <c r="H41" s="23">
        <v>0.04</v>
      </c>
      <c r="I41" s="99">
        <f>ROUND($I$17*H41,2)</f>
        <v>0</v>
      </c>
    </row>
    <row r="42" spans="2:9">
      <c r="B42" s="438" t="s">
        <v>80</v>
      </c>
      <c r="C42" s="470"/>
      <c r="D42" s="470"/>
      <c r="E42" s="470"/>
      <c r="F42" s="470"/>
      <c r="G42" s="471"/>
      <c r="H42" s="128">
        <f>SUM(H37:H41)</f>
        <v>6.9315000000000002E-2</v>
      </c>
      <c r="I42" s="124">
        <f>SUM(I37:I41)</f>
        <v>0</v>
      </c>
    </row>
    <row r="43" spans="2:9">
      <c r="B43" s="64"/>
      <c r="H43" s="76"/>
      <c r="I43" s="73"/>
    </row>
    <row r="44" spans="2:9">
      <c r="B44" s="112" t="s">
        <v>106</v>
      </c>
      <c r="C44" s="472" t="s">
        <v>107</v>
      </c>
      <c r="D44" s="473"/>
      <c r="E44" s="473"/>
      <c r="F44" s="473"/>
      <c r="G44" s="474"/>
      <c r="H44" s="108"/>
      <c r="I44" s="113" t="s">
        <v>77</v>
      </c>
    </row>
    <row r="45" spans="2:9">
      <c r="B45" s="74">
        <v>1</v>
      </c>
      <c r="C45" s="467" t="s">
        <v>108</v>
      </c>
      <c r="D45" s="468"/>
      <c r="E45" s="468"/>
      <c r="F45" s="468"/>
      <c r="G45" s="468"/>
      <c r="H45" s="469"/>
      <c r="I45" s="233">
        <f>ROUND((I17*9.075%)+(I17*(9.075%)*H28),2)</f>
        <v>0</v>
      </c>
    </row>
    <row r="46" spans="2:9">
      <c r="B46" s="74">
        <v>2</v>
      </c>
      <c r="C46" s="587" t="s">
        <v>109</v>
      </c>
      <c r="D46" s="588"/>
      <c r="E46" s="588"/>
      <c r="F46" s="588"/>
      <c r="G46" s="588"/>
      <c r="H46" s="589"/>
      <c r="I46" s="233">
        <f>ROUND((1/30)/12*(I17+I34+I54+I45+I42+I28),2)</f>
        <v>0</v>
      </c>
    </row>
    <row r="47" spans="2:9">
      <c r="B47" s="74">
        <v>3</v>
      </c>
      <c r="C47" s="587" t="s">
        <v>110</v>
      </c>
      <c r="D47" s="588"/>
      <c r="E47" s="588"/>
      <c r="F47" s="588"/>
      <c r="G47" s="588"/>
      <c r="H47" s="589"/>
      <c r="I47" s="233">
        <f>ROUND((((1/30)*5)/12*(I17+I34+I42+I45+I54+I28)*0.015),2)</f>
        <v>0</v>
      </c>
    </row>
    <row r="48" spans="2:9">
      <c r="B48" s="74">
        <v>4</v>
      </c>
      <c r="C48" s="587" t="s">
        <v>111</v>
      </c>
      <c r="D48" s="588"/>
      <c r="E48" s="588"/>
      <c r="F48" s="588"/>
      <c r="G48" s="588"/>
      <c r="H48" s="589"/>
      <c r="I48" s="233">
        <f>ROUND((((($I$17+I34+I42+I45+I54+I28)/30*0.69)/12)),2)</f>
        <v>0</v>
      </c>
    </row>
    <row r="49" spans="2:10">
      <c r="B49" s="74">
        <v>5</v>
      </c>
      <c r="C49" s="587" t="s">
        <v>112</v>
      </c>
      <c r="D49" s="588"/>
      <c r="E49" s="588"/>
      <c r="F49" s="588"/>
      <c r="G49" s="588"/>
      <c r="H49" s="589"/>
      <c r="I49" s="234">
        <f>ROUND((((($I$17*0.121)+(H28)*(I17*0.121))*(4/12)))*0.02,2) + ((H25*I17 + H28*I31 + I54 + I42)*4/12)*0.02</f>
        <v>0</v>
      </c>
    </row>
    <row r="50" spans="2:10">
      <c r="B50" s="74">
        <v>6</v>
      </c>
      <c r="C50" s="587" t="s">
        <v>113</v>
      </c>
      <c r="D50" s="588"/>
      <c r="E50" s="588"/>
      <c r="F50" s="588"/>
      <c r="G50" s="588"/>
      <c r="H50" s="589"/>
      <c r="I50" s="234">
        <f>ROUND(((3/30)/12)*(I17+I34+I42+I45+I54+I28),2)</f>
        <v>0</v>
      </c>
    </row>
    <row r="51" spans="2:10">
      <c r="B51" s="438" t="s">
        <v>80</v>
      </c>
      <c r="C51" s="470"/>
      <c r="D51" s="470"/>
      <c r="E51" s="470"/>
      <c r="F51" s="470"/>
      <c r="G51" s="471"/>
      <c r="H51" s="128"/>
      <c r="I51" s="129">
        <f>SUM(I45:I50)</f>
        <v>0</v>
      </c>
    </row>
    <row r="52" spans="2:10">
      <c r="B52" s="72"/>
      <c r="H52" s="77"/>
      <c r="I52" s="73"/>
    </row>
    <row r="53" spans="2:10">
      <c r="B53" s="112" t="s">
        <v>114</v>
      </c>
      <c r="C53" s="472" t="s">
        <v>115</v>
      </c>
      <c r="D53" s="473"/>
      <c r="E53" s="473"/>
      <c r="F53" s="473"/>
      <c r="G53" s="473"/>
      <c r="H53" s="474"/>
      <c r="I53" s="113" t="s">
        <v>77</v>
      </c>
    </row>
    <row r="54" spans="2:10">
      <c r="B54" s="74">
        <v>1</v>
      </c>
      <c r="C54" s="584" t="s">
        <v>116</v>
      </c>
      <c r="D54" s="585"/>
      <c r="E54" s="585"/>
      <c r="F54" s="585"/>
      <c r="G54" s="585"/>
      <c r="H54" s="586"/>
      <c r="I54" s="120">
        <v>0</v>
      </c>
    </row>
    <row r="55" spans="2:10">
      <c r="B55" s="74">
        <v>2</v>
      </c>
      <c r="C55" s="584" t="s">
        <v>117</v>
      </c>
      <c r="D55" s="585"/>
      <c r="E55" s="585"/>
      <c r="F55" s="585"/>
      <c r="G55" s="585"/>
      <c r="H55" s="586"/>
      <c r="I55" s="120">
        <v>0</v>
      </c>
    </row>
    <row r="56" spans="2:10">
      <c r="B56" s="442" t="s">
        <v>80</v>
      </c>
      <c r="C56" s="489"/>
      <c r="D56" s="489"/>
      <c r="E56" s="489"/>
      <c r="F56" s="489"/>
      <c r="G56" s="489"/>
      <c r="H56" s="490"/>
      <c r="I56" s="118">
        <f>SUM(I54:I55)</f>
        <v>0</v>
      </c>
    </row>
    <row r="57" spans="2:10">
      <c r="B57" s="72"/>
      <c r="H57" s="76"/>
      <c r="I57" s="73"/>
    </row>
    <row r="58" spans="2:10">
      <c r="B58" s="438" t="s">
        <v>148</v>
      </c>
      <c r="C58" s="470"/>
      <c r="D58" s="470"/>
      <c r="E58" s="470"/>
      <c r="F58" s="470"/>
      <c r="G58" s="470"/>
      <c r="H58" s="471"/>
      <c r="I58" s="126">
        <f>I56+I51+I42+I34+I28+I17</f>
        <v>0</v>
      </c>
      <c r="J58" s="3"/>
    </row>
    <row r="59" spans="2:10">
      <c r="B59" s="72"/>
      <c r="H59" s="65"/>
      <c r="I59" s="73"/>
    </row>
    <row r="60" spans="2:10">
      <c r="B60" s="439" t="s">
        <v>119</v>
      </c>
      <c r="C60" s="440"/>
      <c r="D60" s="440"/>
      <c r="E60" s="440"/>
      <c r="F60" s="440"/>
      <c r="G60" s="440"/>
      <c r="H60" s="440"/>
      <c r="I60" s="441"/>
    </row>
    <row r="61" spans="2:10">
      <c r="B61" s="72"/>
      <c r="H61" s="65"/>
      <c r="I61" s="73"/>
    </row>
    <row r="62" spans="2:10">
      <c r="B62" s="112" t="s">
        <v>75</v>
      </c>
      <c r="C62" s="472" t="s">
        <v>120</v>
      </c>
      <c r="D62" s="473"/>
      <c r="E62" s="473"/>
      <c r="F62" s="473"/>
      <c r="G62" s="473"/>
      <c r="H62" s="590"/>
      <c r="I62" s="113" t="s">
        <v>77</v>
      </c>
    </row>
    <row r="63" spans="2:10">
      <c r="B63" s="74">
        <v>1</v>
      </c>
      <c r="C63" s="430" t="s">
        <v>121</v>
      </c>
      <c r="D63" s="431"/>
      <c r="E63" s="431"/>
      <c r="F63" s="431"/>
      <c r="G63" s="594"/>
      <c r="H63" s="235">
        <f>UNIFORMES_EQUIPAMENTOS!C20</f>
        <v>0</v>
      </c>
      <c r="I63" s="99">
        <f>H63*1</f>
        <v>0</v>
      </c>
      <c r="J63" s="3"/>
    </row>
    <row r="64" spans="2:10">
      <c r="B64" s="74">
        <v>2</v>
      </c>
      <c r="C64" s="430" t="s">
        <v>122</v>
      </c>
      <c r="D64" s="431"/>
      <c r="E64" s="431"/>
      <c r="F64" s="431"/>
      <c r="G64" s="594"/>
      <c r="H64" s="235">
        <f>UNIFORMES_EQUIPAMENTOS!H29</f>
        <v>0</v>
      </c>
      <c r="I64" s="99">
        <f>H64*1</f>
        <v>0</v>
      </c>
      <c r="J64" s="3"/>
    </row>
    <row r="65" spans="2:10">
      <c r="B65" s="74">
        <v>3</v>
      </c>
      <c r="C65" s="430" t="s">
        <v>123</v>
      </c>
      <c r="D65" s="431"/>
      <c r="E65" s="431"/>
      <c r="F65" s="431"/>
      <c r="G65" s="594"/>
      <c r="H65" s="250">
        <v>0</v>
      </c>
      <c r="I65" s="99">
        <f>(I58+I63+I64)*H65</f>
        <v>0</v>
      </c>
      <c r="J65" s="3"/>
    </row>
    <row r="66" spans="2:10">
      <c r="B66" s="74">
        <v>4</v>
      </c>
      <c r="C66" s="430" t="s">
        <v>124</v>
      </c>
      <c r="D66" s="431"/>
      <c r="E66" s="431"/>
      <c r="F66" s="431"/>
      <c r="G66" s="594"/>
      <c r="H66" s="250">
        <v>0</v>
      </c>
      <c r="I66" s="99">
        <f>(I58+I63+I64+I65)*H66</f>
        <v>0</v>
      </c>
      <c r="J66" s="3"/>
    </row>
    <row r="67" spans="2:10">
      <c r="B67" s="438" t="s">
        <v>149</v>
      </c>
      <c r="C67" s="470"/>
      <c r="D67" s="470"/>
      <c r="E67" s="470"/>
      <c r="F67" s="470"/>
      <c r="G67" s="470"/>
      <c r="H67" s="471"/>
      <c r="I67" s="124">
        <f>SUM(I63:I66)</f>
        <v>0</v>
      </c>
    </row>
    <row r="68" spans="2:10">
      <c r="B68" s="72"/>
      <c r="H68" s="65"/>
      <c r="I68" s="73"/>
    </row>
    <row r="69" spans="2:10">
      <c r="B69" s="439" t="s">
        <v>126</v>
      </c>
      <c r="C69" s="440"/>
      <c r="D69" s="440"/>
      <c r="E69" s="440"/>
      <c r="F69" s="440"/>
      <c r="G69" s="440"/>
      <c r="H69" s="440"/>
      <c r="I69" s="441"/>
    </row>
    <row r="70" spans="2:10">
      <c r="B70" s="72"/>
      <c r="H70" s="65"/>
      <c r="I70" s="73"/>
    </row>
    <row r="71" spans="2:10">
      <c r="B71" s="112" t="s">
        <v>75</v>
      </c>
      <c r="C71" s="472" t="s">
        <v>127</v>
      </c>
      <c r="D71" s="473"/>
      <c r="E71" s="473"/>
      <c r="F71" s="473"/>
      <c r="G71" s="473"/>
      <c r="H71" s="474"/>
      <c r="I71" s="113" t="s">
        <v>77</v>
      </c>
    </row>
    <row r="72" spans="2:10">
      <c r="B72" s="74">
        <v>1</v>
      </c>
      <c r="C72" s="430" t="s">
        <v>128</v>
      </c>
      <c r="D72" s="431"/>
      <c r="E72" s="431"/>
      <c r="F72" s="431"/>
      <c r="G72" s="431"/>
      <c r="H72" s="253">
        <v>0</v>
      </c>
      <c r="I72" s="99">
        <f>(ROUND((44*(H72))-(I11*0.06),2))*1</f>
        <v>0</v>
      </c>
    </row>
    <row r="73" spans="2:10">
      <c r="B73" s="74">
        <v>2</v>
      </c>
      <c r="C73" s="450" t="s">
        <v>129</v>
      </c>
      <c r="D73" s="429"/>
      <c r="E73" s="429"/>
      <c r="F73" s="429"/>
      <c r="G73" s="429"/>
      <c r="H73" s="296">
        <v>0</v>
      </c>
      <c r="I73" s="120">
        <f>(ROUND((H73*22)*0.8,2))</f>
        <v>0</v>
      </c>
    </row>
    <row r="74" spans="2:10">
      <c r="B74" s="74">
        <v>3</v>
      </c>
      <c r="C74" s="450" t="s">
        <v>150</v>
      </c>
      <c r="D74" s="429"/>
      <c r="E74" s="429"/>
      <c r="F74" s="429"/>
      <c r="G74" s="429"/>
      <c r="H74" s="296">
        <v>0</v>
      </c>
      <c r="I74" s="99">
        <f>H74</f>
        <v>0</v>
      </c>
    </row>
    <row r="75" spans="2:10">
      <c r="B75" s="74">
        <v>4</v>
      </c>
      <c r="C75" s="450" t="s">
        <v>131</v>
      </c>
      <c r="D75" s="429"/>
      <c r="E75" s="429"/>
      <c r="F75" s="429"/>
      <c r="G75" s="429"/>
      <c r="H75" s="239">
        <v>339.49</v>
      </c>
      <c r="I75" s="99">
        <f>H75*3.5</f>
        <v>1188.2150000000001</v>
      </c>
    </row>
    <row r="76" spans="2:10">
      <c r="B76" s="591" t="s">
        <v>151</v>
      </c>
      <c r="C76" s="592"/>
      <c r="D76" s="592"/>
      <c r="E76" s="592"/>
      <c r="F76" s="592"/>
      <c r="G76" s="592"/>
      <c r="H76" s="593"/>
      <c r="I76" s="124">
        <f>SUM(I72:I75)</f>
        <v>1188.2150000000001</v>
      </c>
    </row>
    <row r="77" spans="2:10">
      <c r="B77" s="72"/>
      <c r="H77" s="65"/>
      <c r="I77" s="73"/>
    </row>
    <row r="78" spans="2:10">
      <c r="B78" s="439" t="s">
        <v>133</v>
      </c>
      <c r="C78" s="440"/>
      <c r="D78" s="440"/>
      <c r="E78" s="440"/>
      <c r="F78" s="440"/>
      <c r="G78" s="440"/>
      <c r="H78" s="440"/>
      <c r="I78" s="441"/>
    </row>
    <row r="79" spans="2:10">
      <c r="B79" s="72"/>
      <c r="H79" s="65"/>
      <c r="I79" s="73"/>
    </row>
    <row r="80" spans="2:10">
      <c r="B80" s="112" t="s">
        <v>75</v>
      </c>
      <c r="C80" s="472" t="s">
        <v>134</v>
      </c>
      <c r="D80" s="473"/>
      <c r="E80" s="473"/>
      <c r="F80" s="473"/>
      <c r="G80" s="474"/>
      <c r="H80" s="108" t="s">
        <v>83</v>
      </c>
      <c r="I80" s="113" t="s">
        <v>77</v>
      </c>
    </row>
    <row r="81" spans="2:9">
      <c r="B81" s="74">
        <v>1</v>
      </c>
      <c r="C81" s="425" t="s">
        <v>135</v>
      </c>
      <c r="D81" s="426"/>
      <c r="E81" s="426"/>
      <c r="F81" s="426"/>
      <c r="G81" s="427"/>
      <c r="H81" s="249">
        <v>7.5999999999999998E-2</v>
      </c>
      <c r="I81" s="99">
        <f>$I$85/$H$85*H81</f>
        <v>0</v>
      </c>
    </row>
    <row r="82" spans="2:9">
      <c r="B82" s="74">
        <v>2</v>
      </c>
      <c r="C82" s="425" t="s">
        <v>136</v>
      </c>
      <c r="D82" s="426"/>
      <c r="E82" s="426"/>
      <c r="F82" s="426"/>
      <c r="G82" s="427"/>
      <c r="H82" s="249">
        <v>1.6500000000000001E-2</v>
      </c>
      <c r="I82" s="99">
        <f>$I$85/$H$85*H82</f>
        <v>0</v>
      </c>
    </row>
    <row r="83" spans="2:9">
      <c r="B83" s="74">
        <v>3</v>
      </c>
      <c r="C83" s="425" t="s">
        <v>137</v>
      </c>
      <c r="D83" s="426"/>
      <c r="E83" s="426"/>
      <c r="F83" s="426"/>
      <c r="G83" s="427"/>
      <c r="H83" s="249">
        <v>0.05</v>
      </c>
      <c r="I83" s="99">
        <f>$I$85/$H$85*H83</f>
        <v>0</v>
      </c>
    </row>
    <row r="84" spans="2:9">
      <c r="B84" s="193">
        <v>4</v>
      </c>
      <c r="C84" s="425" t="s">
        <v>138</v>
      </c>
      <c r="D84" s="426"/>
      <c r="E84" s="426"/>
      <c r="F84" s="426"/>
      <c r="G84" s="427"/>
      <c r="H84" s="249">
        <v>0</v>
      </c>
      <c r="I84" s="99">
        <f>$I$85/$H$85*H84</f>
        <v>0</v>
      </c>
    </row>
    <row r="85" spans="2:9">
      <c r="B85" s="438" t="s">
        <v>80</v>
      </c>
      <c r="C85" s="470"/>
      <c r="D85" s="470"/>
      <c r="E85" s="470"/>
      <c r="F85" s="470"/>
      <c r="G85" s="471"/>
      <c r="H85" s="128">
        <f>SUM(H81:H84)</f>
        <v>0.14250000000000002</v>
      </c>
      <c r="I85" s="124">
        <f>ROUND(((I58+I67)*$H$85)/(1-$H$85),2)</f>
        <v>0</v>
      </c>
    </row>
    <row r="86" spans="2:9">
      <c r="B86" s="72"/>
      <c r="H86" s="65"/>
      <c r="I86" s="73"/>
    </row>
    <row r="87" spans="2:9">
      <c r="B87" s="112" t="s">
        <v>75</v>
      </c>
      <c r="C87" s="472" t="s">
        <v>139</v>
      </c>
      <c r="D87" s="473"/>
      <c r="E87" s="473"/>
      <c r="F87" s="473"/>
      <c r="G87" s="474"/>
      <c r="H87" s="108" t="s">
        <v>83</v>
      </c>
      <c r="I87" s="113" t="s">
        <v>77</v>
      </c>
    </row>
    <row r="88" spans="2:9">
      <c r="B88" s="74">
        <v>1</v>
      </c>
      <c r="C88" s="425" t="s">
        <v>135</v>
      </c>
      <c r="D88" s="426"/>
      <c r="E88" s="426"/>
      <c r="F88" s="426"/>
      <c r="G88" s="427"/>
      <c r="H88" s="249">
        <v>7.5999999999999998E-2</v>
      </c>
      <c r="I88" s="99">
        <f>$I$92/$H$92*H88</f>
        <v>105.31199999999998</v>
      </c>
    </row>
    <row r="89" spans="2:9">
      <c r="B89" s="74">
        <v>2</v>
      </c>
      <c r="C89" s="425" t="s">
        <v>136</v>
      </c>
      <c r="D89" s="426"/>
      <c r="E89" s="426"/>
      <c r="F89" s="426"/>
      <c r="G89" s="427"/>
      <c r="H89" s="249">
        <v>1.6500000000000001E-2</v>
      </c>
      <c r="I89" s="99">
        <f>$I$92/$H$92*H89</f>
        <v>22.863789473684207</v>
      </c>
    </row>
    <row r="90" spans="2:9">
      <c r="B90" s="74">
        <v>3</v>
      </c>
      <c r="C90" s="425" t="s">
        <v>137</v>
      </c>
      <c r="D90" s="426"/>
      <c r="E90" s="426"/>
      <c r="F90" s="426"/>
      <c r="G90" s="427"/>
      <c r="H90" s="249">
        <v>0.05</v>
      </c>
      <c r="I90" s="99">
        <f>$I$92/$H$92*H90</f>
        <v>69.284210526315789</v>
      </c>
    </row>
    <row r="91" spans="2:9">
      <c r="B91" s="193">
        <v>4</v>
      </c>
      <c r="C91" s="425" t="s">
        <v>138</v>
      </c>
      <c r="D91" s="426"/>
      <c r="E91" s="426"/>
      <c r="F91" s="426"/>
      <c r="G91" s="427"/>
      <c r="H91" s="249">
        <v>0</v>
      </c>
      <c r="I91" s="99">
        <f>$I$92/$H$92*H91</f>
        <v>0</v>
      </c>
    </row>
    <row r="92" spans="2:9">
      <c r="B92" s="438" t="s">
        <v>80</v>
      </c>
      <c r="C92" s="470"/>
      <c r="D92" s="470"/>
      <c r="E92" s="470"/>
      <c r="F92" s="470"/>
      <c r="G92" s="471"/>
      <c r="H92" s="128">
        <f>SUM(H88:H91)</f>
        <v>0.14250000000000002</v>
      </c>
      <c r="I92" s="124">
        <f>ROUND(((I76)*$H$85)/(1-$H$85),2)</f>
        <v>197.46</v>
      </c>
    </row>
    <row r="93" spans="2:9">
      <c r="B93" s="72"/>
      <c r="H93" s="65"/>
      <c r="I93" s="73"/>
    </row>
    <row r="94" spans="2:9">
      <c r="B94" s="438" t="s">
        <v>152</v>
      </c>
      <c r="C94" s="470"/>
      <c r="D94" s="470"/>
      <c r="E94" s="470"/>
      <c r="F94" s="470"/>
      <c r="G94" s="470"/>
      <c r="H94" s="471"/>
      <c r="I94" s="126">
        <f>I92+I85</f>
        <v>197.46</v>
      </c>
    </row>
    <row r="95" spans="2:9">
      <c r="B95" s="72"/>
      <c r="H95" s="65"/>
      <c r="I95" s="73"/>
    </row>
    <row r="96" spans="2:9">
      <c r="B96" s="439" t="s">
        <v>36</v>
      </c>
      <c r="C96" s="440"/>
      <c r="D96" s="440"/>
      <c r="E96" s="440"/>
      <c r="F96" s="440"/>
      <c r="G96" s="440"/>
      <c r="H96" s="440"/>
      <c r="I96" s="441"/>
    </row>
    <row r="97" spans="2:11">
      <c r="B97" s="72"/>
      <c r="H97" s="65"/>
      <c r="I97" s="73"/>
    </row>
    <row r="98" spans="2:11">
      <c r="B98" s="438" t="s">
        <v>153</v>
      </c>
      <c r="C98" s="470"/>
      <c r="D98" s="470"/>
      <c r="E98" s="470"/>
      <c r="F98" s="470"/>
      <c r="G98" s="470"/>
      <c r="H98" s="471"/>
      <c r="I98" s="124">
        <f>I58+I67+I85</f>
        <v>0</v>
      </c>
      <c r="K98" s="12"/>
    </row>
    <row r="99" spans="2:11">
      <c r="B99" s="78"/>
      <c r="C99" s="79"/>
      <c r="D99" s="79"/>
      <c r="E99" s="79"/>
      <c r="F99" s="79"/>
      <c r="G99" s="79"/>
      <c r="H99" s="80"/>
      <c r="I99" s="122"/>
    </row>
    <row r="100" spans="2:11">
      <c r="B100" s="438" t="s">
        <v>154</v>
      </c>
      <c r="C100" s="470"/>
      <c r="D100" s="470"/>
      <c r="E100" s="470"/>
      <c r="F100" s="470"/>
      <c r="G100" s="470"/>
      <c r="H100" s="471"/>
      <c r="I100" s="124">
        <f>I76+I92</f>
        <v>1385.6750000000002</v>
      </c>
    </row>
    <row r="101" spans="2:11">
      <c r="B101" s="78"/>
      <c r="C101" s="79"/>
      <c r="D101" s="79"/>
      <c r="E101" s="79"/>
      <c r="F101" s="79"/>
      <c r="G101" s="79"/>
      <c r="H101" s="80"/>
      <c r="I101" s="122"/>
    </row>
    <row r="102" spans="2:11">
      <c r="B102" s="438" t="s">
        <v>155</v>
      </c>
      <c r="C102" s="470"/>
      <c r="D102" s="470"/>
      <c r="E102" s="470"/>
      <c r="F102" s="470"/>
      <c r="G102" s="470"/>
      <c r="H102" s="471"/>
      <c r="I102" s="124">
        <f>I58+I67+I76+I94</f>
        <v>1385.6750000000002</v>
      </c>
    </row>
    <row r="103" spans="2:11">
      <c r="B103" s="81"/>
      <c r="C103" s="82"/>
      <c r="D103" s="82"/>
      <c r="E103" s="82"/>
      <c r="F103" s="82"/>
      <c r="G103" s="82"/>
      <c r="H103" s="82"/>
      <c r="I103" s="123"/>
    </row>
    <row r="104" spans="2:11">
      <c r="B104" s="443" t="s">
        <v>156</v>
      </c>
      <c r="C104" s="424"/>
      <c r="D104" s="424"/>
      <c r="E104" s="424"/>
      <c r="F104" s="424"/>
      <c r="G104" s="424"/>
      <c r="H104" s="424"/>
      <c r="I104" s="124">
        <f>I98*1</f>
        <v>0</v>
      </c>
    </row>
    <row r="105" spans="2:11">
      <c r="B105" s="72"/>
      <c r="H105" s="65"/>
      <c r="I105" s="122"/>
    </row>
    <row r="106" spans="2:11" ht="15.75" thickBot="1">
      <c r="B106" s="444" t="s">
        <v>161</v>
      </c>
      <c r="C106" s="445"/>
      <c r="D106" s="445"/>
      <c r="E106" s="445"/>
      <c r="F106" s="445"/>
      <c r="G106" s="445"/>
      <c r="H106" s="445"/>
      <c r="I106" s="236">
        <f>I102*1</f>
        <v>1385.6750000000002</v>
      </c>
    </row>
    <row r="107" spans="2:11">
      <c r="E107" s="394"/>
      <c r="F107" s="394"/>
      <c r="G107" s="394"/>
      <c r="H107" s="394"/>
      <c r="I107" s="394"/>
    </row>
    <row r="108" spans="2:11" ht="18">
      <c r="E108" s="395"/>
      <c r="F108" s="395"/>
      <c r="G108" s="396"/>
      <c r="H108" s="396"/>
      <c r="I108" s="396"/>
    </row>
    <row r="109" spans="2:11">
      <c r="B109" s="397"/>
      <c r="C109" s="397"/>
      <c r="D109" s="397"/>
      <c r="E109" s="397"/>
      <c r="F109" s="397"/>
      <c r="G109" s="397"/>
    </row>
  </sheetData>
  <sheetProtection selectLockedCells="1"/>
  <mergeCells count="85">
    <mergeCell ref="B7:I7"/>
    <mergeCell ref="B2:I2"/>
    <mergeCell ref="B5:I5"/>
    <mergeCell ref="B6:I6"/>
    <mergeCell ref="B1:I1"/>
    <mergeCell ref="C39:G39"/>
    <mergeCell ref="C40:G40"/>
    <mergeCell ref="C41:G41"/>
    <mergeCell ref="C23:G23"/>
    <mergeCell ref="B8:I8"/>
    <mergeCell ref="B9:I9"/>
    <mergeCell ref="B11:H11"/>
    <mergeCell ref="B13:I13"/>
    <mergeCell ref="C15:H15"/>
    <mergeCell ref="C16:H16"/>
    <mergeCell ref="B17:H17"/>
    <mergeCell ref="C19:G19"/>
    <mergeCell ref="C20:G20"/>
    <mergeCell ref="C21:G21"/>
    <mergeCell ref="C22:G22"/>
    <mergeCell ref="C37:G37"/>
    <mergeCell ref="C31:G31"/>
    <mergeCell ref="C32:G32"/>
    <mergeCell ref="C33:G33"/>
    <mergeCell ref="C38:G38"/>
    <mergeCell ref="B34:G34"/>
    <mergeCell ref="C36:G36"/>
    <mergeCell ref="C24:G24"/>
    <mergeCell ref="C25:G25"/>
    <mergeCell ref="C27:G27"/>
    <mergeCell ref="B28:G28"/>
    <mergeCell ref="C30:G30"/>
    <mergeCell ref="B42:G42"/>
    <mergeCell ref="B60:I60"/>
    <mergeCell ref="C62:H62"/>
    <mergeCell ref="C63:G63"/>
    <mergeCell ref="C64:G64"/>
    <mergeCell ref="C45:H45"/>
    <mergeCell ref="C46:H46"/>
    <mergeCell ref="C47:H47"/>
    <mergeCell ref="C48:H48"/>
    <mergeCell ref="B51:G51"/>
    <mergeCell ref="C53:H53"/>
    <mergeCell ref="C54:H54"/>
    <mergeCell ref="B56:H56"/>
    <mergeCell ref="B58:H58"/>
    <mergeCell ref="C55:H55"/>
    <mergeCell ref="C44:G44"/>
    <mergeCell ref="B98:H98"/>
    <mergeCell ref="C81:G81"/>
    <mergeCell ref="B67:H67"/>
    <mergeCell ref="B69:I69"/>
    <mergeCell ref="C71:H71"/>
    <mergeCell ref="B76:H76"/>
    <mergeCell ref="B78:I78"/>
    <mergeCell ref="C80:G80"/>
    <mergeCell ref="C89:G89"/>
    <mergeCell ref="C90:G90"/>
    <mergeCell ref="B92:G92"/>
    <mergeCell ref="B94:H94"/>
    <mergeCell ref="B96:I96"/>
    <mergeCell ref="C84:G84"/>
    <mergeCell ref="C91:G91"/>
    <mergeCell ref="C49:H49"/>
    <mergeCell ref="C50:H50"/>
    <mergeCell ref="B109:G109"/>
    <mergeCell ref="B102:H102"/>
    <mergeCell ref="B104:H104"/>
    <mergeCell ref="B106:H106"/>
    <mergeCell ref="E107:F107"/>
    <mergeCell ref="G107:I107"/>
    <mergeCell ref="E108:F108"/>
    <mergeCell ref="G108:I108"/>
    <mergeCell ref="B100:H100"/>
    <mergeCell ref="C82:G82"/>
    <mergeCell ref="C83:G83"/>
    <mergeCell ref="B85:G85"/>
    <mergeCell ref="C87:G87"/>
    <mergeCell ref="C88:G88"/>
    <mergeCell ref="C65:G65"/>
    <mergeCell ref="C66:G66"/>
    <mergeCell ref="C75:G75"/>
    <mergeCell ref="C73:G73"/>
    <mergeCell ref="C74:G74"/>
    <mergeCell ref="C72:G72"/>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M107"/>
  <sheetViews>
    <sheetView zoomScaleNormal="100" workbookViewId="0">
      <selection activeCell="D27" sqref="D27"/>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11" max="11" width="10.28515625" customWidth="1"/>
  </cols>
  <sheetData>
    <row r="1" spans="2:9" ht="39" customHeight="1" thickBot="1">
      <c r="B1" s="403" t="s">
        <v>172</v>
      </c>
      <c r="C1" s="403"/>
      <c r="D1" s="403"/>
      <c r="E1" s="403"/>
      <c r="F1" s="403"/>
      <c r="G1" s="403"/>
      <c r="H1" s="403"/>
      <c r="I1" s="403"/>
    </row>
    <row r="2" spans="2:9" ht="30" customHeight="1">
      <c r="B2" s="446" t="s">
        <v>67</v>
      </c>
      <c r="C2" s="447"/>
      <c r="D2" s="447"/>
      <c r="E2" s="447"/>
      <c r="F2" s="447"/>
      <c r="G2" s="447"/>
      <c r="H2" s="447"/>
      <c r="I2" s="448"/>
    </row>
    <row r="3" spans="2:9">
      <c r="B3" s="64"/>
      <c r="H3" s="65"/>
      <c r="I3" s="66"/>
    </row>
    <row r="4" spans="2:9">
      <c r="B4" s="67"/>
      <c r="C4" s="68"/>
      <c r="D4" s="68"/>
      <c r="E4" s="68"/>
      <c r="F4" s="68"/>
      <c r="G4" s="68"/>
      <c r="H4" s="69"/>
      <c r="I4" s="70"/>
    </row>
    <row r="5" spans="2:9" ht="14.25" customHeight="1">
      <c r="B5" s="434" t="s">
        <v>173</v>
      </c>
      <c r="C5" s="435"/>
      <c r="D5" s="435"/>
      <c r="E5" s="435"/>
      <c r="F5" s="435"/>
      <c r="G5" s="435"/>
      <c r="H5" s="435"/>
      <c r="I5" s="436"/>
    </row>
    <row r="6" spans="2:9" ht="14.25" customHeight="1">
      <c r="B6" s="461" t="s">
        <v>174</v>
      </c>
      <c r="C6" s="462"/>
      <c r="D6" s="462"/>
      <c r="E6" s="462"/>
      <c r="F6" s="462"/>
      <c r="G6" s="462"/>
      <c r="H6" s="462"/>
      <c r="I6" s="463"/>
    </row>
    <row r="7" spans="2:9">
      <c r="B7" s="434" t="s">
        <v>146</v>
      </c>
      <c r="C7" s="435"/>
      <c r="D7" s="435"/>
      <c r="E7" s="435"/>
      <c r="F7" s="435"/>
      <c r="G7" s="435"/>
      <c r="H7" s="435"/>
      <c r="I7" s="436"/>
    </row>
    <row r="8" spans="2:9">
      <c r="B8" s="442" t="s">
        <v>71</v>
      </c>
      <c r="C8" s="489"/>
      <c r="D8" s="489"/>
      <c r="E8" s="489"/>
      <c r="F8" s="489"/>
      <c r="G8" s="489"/>
      <c r="H8" s="489"/>
      <c r="I8" s="449"/>
    </row>
    <row r="9" spans="2:9">
      <c r="B9" s="455" t="s">
        <v>72</v>
      </c>
      <c r="C9" s="437"/>
      <c r="D9" s="437"/>
      <c r="E9" s="437"/>
      <c r="F9" s="437"/>
      <c r="G9" s="437"/>
      <c r="H9" s="437"/>
      <c r="I9" s="456"/>
    </row>
    <row r="10" spans="2:9">
      <c r="B10" s="67"/>
      <c r="C10" s="68"/>
      <c r="D10" s="68"/>
      <c r="E10" s="68"/>
      <c r="F10" s="68"/>
      <c r="G10" s="68"/>
      <c r="H10" s="69"/>
      <c r="I10" s="70"/>
    </row>
    <row r="11" spans="2:9" ht="33.75" customHeight="1">
      <c r="B11" s="464" t="s">
        <v>175</v>
      </c>
      <c r="C11" s="429"/>
      <c r="D11" s="429"/>
      <c r="E11" s="429"/>
      <c r="F11" s="429"/>
      <c r="G11" s="429"/>
      <c r="H11" s="451"/>
      <c r="I11" s="184">
        <v>0</v>
      </c>
    </row>
    <row r="12" spans="2:9">
      <c r="B12" s="72"/>
      <c r="H12" s="65"/>
      <c r="I12" s="73"/>
    </row>
    <row r="13" spans="2:9">
      <c r="B13" s="439" t="s">
        <v>74</v>
      </c>
      <c r="C13" s="440"/>
      <c r="D13" s="440"/>
      <c r="E13" s="440"/>
      <c r="F13" s="440"/>
      <c r="G13" s="440"/>
      <c r="H13" s="440"/>
      <c r="I13" s="441"/>
    </row>
    <row r="14" spans="2:9">
      <c r="B14" s="72"/>
      <c r="H14" s="65"/>
      <c r="I14" s="73"/>
    </row>
    <row r="15" spans="2:9">
      <c r="B15" s="112" t="s">
        <v>75</v>
      </c>
      <c r="C15" s="472" t="s">
        <v>76</v>
      </c>
      <c r="D15" s="473"/>
      <c r="E15" s="473"/>
      <c r="F15" s="473"/>
      <c r="G15" s="473"/>
      <c r="H15" s="474"/>
      <c r="I15" s="113" t="s">
        <v>77</v>
      </c>
    </row>
    <row r="16" spans="2:9">
      <c r="B16" s="74">
        <v>1</v>
      </c>
      <c r="C16" s="584" t="s">
        <v>78</v>
      </c>
      <c r="D16" s="585"/>
      <c r="E16" s="585"/>
      <c r="F16" s="585"/>
      <c r="G16" s="585"/>
      <c r="H16" s="586"/>
      <c r="I16" s="99">
        <f>I11</f>
        <v>0</v>
      </c>
    </row>
    <row r="17" spans="2:9">
      <c r="B17" s="74">
        <v>2</v>
      </c>
      <c r="C17" s="595" t="s">
        <v>176</v>
      </c>
      <c r="D17" s="138"/>
      <c r="E17" s="138"/>
      <c r="F17" s="138"/>
      <c r="G17" s="138"/>
      <c r="H17" s="139"/>
      <c r="I17" s="99">
        <f>I11*0.2</f>
        <v>0</v>
      </c>
    </row>
    <row r="18" spans="2:9">
      <c r="B18" s="438" t="s">
        <v>80</v>
      </c>
      <c r="C18" s="470"/>
      <c r="D18" s="470"/>
      <c r="E18" s="470"/>
      <c r="F18" s="470"/>
      <c r="G18" s="470"/>
      <c r="H18" s="471"/>
      <c r="I18" s="124">
        <f>SUM(I16:I17)</f>
        <v>0</v>
      </c>
    </row>
    <row r="19" spans="2:9">
      <c r="B19" s="72"/>
      <c r="H19" s="76"/>
      <c r="I19" s="73"/>
    </row>
    <row r="20" spans="2:9">
      <c r="B20" s="112" t="s">
        <v>81</v>
      </c>
      <c r="C20" s="472" t="s">
        <v>82</v>
      </c>
      <c r="D20" s="473"/>
      <c r="E20" s="473"/>
      <c r="F20" s="473"/>
      <c r="G20" s="474"/>
      <c r="H20" s="108" t="s">
        <v>83</v>
      </c>
      <c r="I20" s="113" t="s">
        <v>77</v>
      </c>
    </row>
    <row r="21" spans="2:9">
      <c r="B21" s="74">
        <v>1</v>
      </c>
      <c r="C21" s="425" t="s">
        <v>84</v>
      </c>
      <c r="D21" s="426"/>
      <c r="E21" s="426"/>
      <c r="F21" s="426"/>
      <c r="G21" s="427"/>
      <c r="H21" s="249">
        <v>0.2</v>
      </c>
      <c r="I21" s="99">
        <f>ROUND($I$18*H21,2)</f>
        <v>0</v>
      </c>
    </row>
    <row r="22" spans="2:9">
      <c r="B22" s="74">
        <v>2</v>
      </c>
      <c r="C22" s="425" t="s">
        <v>85</v>
      </c>
      <c r="D22" s="426"/>
      <c r="E22" s="426"/>
      <c r="F22" s="426"/>
      <c r="G22" s="427"/>
      <c r="H22" s="249">
        <v>1.4999999999999999E-2</v>
      </c>
      <c r="I22" s="99">
        <f t="shared" ref="I22:I28" si="0">ROUND($I$18*H22,2)</f>
        <v>0</v>
      </c>
    </row>
    <row r="23" spans="2:9">
      <c r="B23" s="74">
        <v>3</v>
      </c>
      <c r="C23" s="425" t="s">
        <v>86</v>
      </c>
      <c r="D23" s="426"/>
      <c r="E23" s="426"/>
      <c r="F23" s="426"/>
      <c r="G23" s="427"/>
      <c r="H23" s="249">
        <v>0.01</v>
      </c>
      <c r="I23" s="99">
        <f t="shared" si="0"/>
        <v>0</v>
      </c>
    </row>
    <row r="24" spans="2:9">
      <c r="B24" s="74">
        <v>4</v>
      </c>
      <c r="C24" s="425" t="s">
        <v>87</v>
      </c>
      <c r="D24" s="426"/>
      <c r="E24" s="426"/>
      <c r="F24" s="426"/>
      <c r="G24" s="427"/>
      <c r="H24" s="249">
        <v>2E-3</v>
      </c>
      <c r="I24" s="99">
        <f t="shared" si="0"/>
        <v>0</v>
      </c>
    </row>
    <row r="25" spans="2:9">
      <c r="B25" s="74">
        <v>5</v>
      </c>
      <c r="C25" s="425" t="s">
        <v>88</v>
      </c>
      <c r="D25" s="426"/>
      <c r="E25" s="426"/>
      <c r="F25" s="426"/>
      <c r="G25" s="427"/>
      <c r="H25" s="249">
        <v>2.5000000000000001E-2</v>
      </c>
      <c r="I25" s="99">
        <f t="shared" si="0"/>
        <v>0</v>
      </c>
    </row>
    <row r="26" spans="2:9">
      <c r="B26" s="74">
        <v>6</v>
      </c>
      <c r="C26" s="425" t="s">
        <v>89</v>
      </c>
      <c r="D26" s="426"/>
      <c r="E26" s="426"/>
      <c r="F26" s="426"/>
      <c r="G26" s="427"/>
      <c r="H26" s="249">
        <v>0.08</v>
      </c>
      <c r="I26" s="99">
        <f t="shared" si="0"/>
        <v>0</v>
      </c>
    </row>
    <row r="27" spans="2:9">
      <c r="B27" s="74">
        <v>7</v>
      </c>
      <c r="C27" s="1" t="s">
        <v>90</v>
      </c>
      <c r="D27" s="305" t="s">
        <v>91</v>
      </c>
      <c r="E27" s="306">
        <v>0.03</v>
      </c>
      <c r="F27" s="305" t="s">
        <v>92</v>
      </c>
      <c r="G27" s="307">
        <v>1</v>
      </c>
      <c r="H27" s="249">
        <f>E27*G27</f>
        <v>0.03</v>
      </c>
      <c r="I27" s="99">
        <f t="shared" si="0"/>
        <v>0</v>
      </c>
    </row>
    <row r="28" spans="2:9">
      <c r="B28" s="74">
        <v>8</v>
      </c>
      <c r="C28" s="425" t="s">
        <v>93</v>
      </c>
      <c r="D28" s="426"/>
      <c r="E28" s="426"/>
      <c r="F28" s="426"/>
      <c r="G28" s="427"/>
      <c r="H28" s="249">
        <v>6.0000000000000001E-3</v>
      </c>
      <c r="I28" s="99">
        <f t="shared" si="0"/>
        <v>0</v>
      </c>
    </row>
    <row r="29" spans="2:9">
      <c r="B29" s="438" t="s">
        <v>80</v>
      </c>
      <c r="C29" s="470"/>
      <c r="D29" s="470"/>
      <c r="E29" s="470"/>
      <c r="F29" s="470"/>
      <c r="G29" s="471"/>
      <c r="H29" s="128">
        <f>SUM(H21:H28)</f>
        <v>0.3680000000000001</v>
      </c>
      <c r="I29" s="124">
        <f>SUM(I21:I28)</f>
        <v>0</v>
      </c>
    </row>
    <row r="30" spans="2:9">
      <c r="B30" s="72"/>
      <c r="H30" s="76"/>
      <c r="I30" s="73"/>
    </row>
    <row r="31" spans="2:9">
      <c r="B31" s="112" t="s">
        <v>94</v>
      </c>
      <c r="C31" s="472" t="s">
        <v>95</v>
      </c>
      <c r="D31" s="473"/>
      <c r="E31" s="473"/>
      <c r="F31" s="473"/>
      <c r="G31" s="474"/>
      <c r="H31" s="108" t="s">
        <v>83</v>
      </c>
      <c r="I31" s="113" t="s">
        <v>77</v>
      </c>
    </row>
    <row r="32" spans="2:9">
      <c r="B32" s="74">
        <v>1</v>
      </c>
      <c r="C32" s="425" t="s">
        <v>96</v>
      </c>
      <c r="D32" s="426"/>
      <c r="E32" s="426"/>
      <c r="F32" s="426"/>
      <c r="G32" s="427"/>
      <c r="H32" s="225">
        <f>ROUND(1/12,4)</f>
        <v>8.3299999999999999E-2</v>
      </c>
      <c r="I32" s="237">
        <f>ROUND($I$18*H32,2)</f>
        <v>0</v>
      </c>
    </row>
    <row r="33" spans="2:11">
      <c r="B33" s="74">
        <v>2</v>
      </c>
      <c r="C33" s="425" t="s">
        <v>97</v>
      </c>
      <c r="D33" s="426"/>
      <c r="E33" s="426"/>
      <c r="F33" s="426"/>
      <c r="G33" s="427"/>
      <c r="H33" s="231">
        <v>3.0249999999999999E-2</v>
      </c>
      <c r="I33" s="237">
        <f>ROUND($I$18*H33,2)</f>
        <v>0</v>
      </c>
    </row>
    <row r="34" spans="2:11">
      <c r="B34" s="74">
        <v>3</v>
      </c>
      <c r="C34" s="425" t="s">
        <v>98</v>
      </c>
      <c r="D34" s="426"/>
      <c r="E34" s="426"/>
      <c r="F34" s="426"/>
      <c r="G34" s="427"/>
      <c r="H34" s="232">
        <f>ROUND((H32+H33)*H29,4)</f>
        <v>4.1799999999999997E-2</v>
      </c>
      <c r="I34" s="237">
        <f>ROUND($I$18*H34,2)</f>
        <v>0</v>
      </c>
      <c r="K34" s="7"/>
    </row>
    <row r="35" spans="2:11">
      <c r="B35" s="438" t="s">
        <v>80</v>
      </c>
      <c r="C35" s="470"/>
      <c r="D35" s="470"/>
      <c r="E35" s="470"/>
      <c r="F35" s="470"/>
      <c r="G35" s="471"/>
      <c r="H35" s="128">
        <f>SUM(H32:H34)</f>
        <v>0.15534999999999999</v>
      </c>
      <c r="I35" s="129">
        <f>SUM(I32:I34)</f>
        <v>0</v>
      </c>
    </row>
    <row r="36" spans="2:11">
      <c r="B36" s="72"/>
      <c r="H36" s="76"/>
      <c r="I36" s="73"/>
    </row>
    <row r="37" spans="2:11">
      <c r="B37" s="112" t="s">
        <v>99</v>
      </c>
      <c r="C37" s="472" t="s">
        <v>100</v>
      </c>
      <c r="D37" s="473"/>
      <c r="E37" s="473"/>
      <c r="F37" s="473"/>
      <c r="G37" s="474"/>
      <c r="H37" s="108" t="s">
        <v>83</v>
      </c>
      <c r="I37" s="113" t="s">
        <v>77</v>
      </c>
    </row>
    <row r="38" spans="2:11">
      <c r="B38" s="74">
        <v>1</v>
      </c>
      <c r="C38" s="467" t="s">
        <v>101</v>
      </c>
      <c r="D38" s="468"/>
      <c r="E38" s="468"/>
      <c r="F38" s="468"/>
      <c r="G38" s="469"/>
      <c r="H38" s="22">
        <f>(1+(1/12)+(1/12)+(1/12/3))/12*0.05</f>
        <v>4.9768518518518512E-3</v>
      </c>
      <c r="I38" s="99">
        <f>ROUND($I$18*H38,2)</f>
        <v>0</v>
      </c>
      <c r="K38" s="8"/>
    </row>
    <row r="39" spans="2:11">
      <c r="B39" s="74">
        <v>2</v>
      </c>
      <c r="C39" s="465" t="s">
        <v>102</v>
      </c>
      <c r="D39" s="466"/>
      <c r="E39" s="466"/>
      <c r="F39" s="466"/>
      <c r="G39" s="475"/>
      <c r="H39" s="22">
        <f>H38*0.08</f>
        <v>3.9814814814814812E-4</v>
      </c>
      <c r="I39" s="99">
        <f>ROUND($I$18*H39,2)</f>
        <v>0</v>
      </c>
      <c r="K39" s="8"/>
    </row>
    <row r="40" spans="2:11">
      <c r="B40" s="74">
        <v>3</v>
      </c>
      <c r="C40" s="467" t="s">
        <v>103</v>
      </c>
      <c r="D40" s="468"/>
      <c r="E40" s="468"/>
      <c r="F40" s="468"/>
      <c r="G40" s="469"/>
      <c r="H40" s="23">
        <f>(7/30/12)*0.9</f>
        <v>1.7500000000000002E-2</v>
      </c>
      <c r="I40" s="99">
        <f>ROUND($I$18*H40,2)</f>
        <v>0</v>
      </c>
      <c r="K40" s="8"/>
    </row>
    <row r="41" spans="2:11">
      <c r="B41" s="74">
        <v>4</v>
      </c>
      <c r="C41" s="467" t="s">
        <v>104</v>
      </c>
      <c r="D41" s="468"/>
      <c r="E41" s="468"/>
      <c r="F41" s="468"/>
      <c r="G41" s="469"/>
      <c r="H41" s="23">
        <f>H40*$H$29</f>
        <v>6.4400000000000021E-3</v>
      </c>
      <c r="I41" s="99">
        <f>ROUND($I$18*H41,2)</f>
        <v>0</v>
      </c>
      <c r="K41" s="8"/>
    </row>
    <row r="42" spans="2:11">
      <c r="B42" s="74">
        <v>5</v>
      </c>
      <c r="C42" s="467" t="s">
        <v>105</v>
      </c>
      <c r="D42" s="468"/>
      <c r="E42" s="468"/>
      <c r="F42" s="468"/>
      <c r="G42" s="469"/>
      <c r="H42" s="23">
        <v>0.04</v>
      </c>
      <c r="I42" s="99">
        <f>ROUND($I$18*H42,2)</f>
        <v>0</v>
      </c>
      <c r="K42" s="8"/>
    </row>
    <row r="43" spans="2:11">
      <c r="B43" s="438" t="s">
        <v>80</v>
      </c>
      <c r="C43" s="470"/>
      <c r="D43" s="470"/>
      <c r="E43" s="470"/>
      <c r="F43" s="470"/>
      <c r="G43" s="471"/>
      <c r="H43" s="128">
        <f>SUM(H38:H42)</f>
        <v>6.9315000000000002E-2</v>
      </c>
      <c r="I43" s="124">
        <f>SUM(I38:I42)</f>
        <v>0</v>
      </c>
      <c r="K43" s="8"/>
    </row>
    <row r="44" spans="2:11">
      <c r="B44" s="64"/>
      <c r="H44" s="76"/>
      <c r="I44" s="122"/>
      <c r="K44" s="8"/>
    </row>
    <row r="45" spans="2:11">
      <c r="B45" s="112" t="s">
        <v>106</v>
      </c>
      <c r="C45" s="472" t="s">
        <v>107</v>
      </c>
      <c r="D45" s="473"/>
      <c r="E45" s="473"/>
      <c r="F45" s="473"/>
      <c r="G45" s="474"/>
      <c r="H45" s="108"/>
      <c r="I45" s="113" t="s">
        <v>77</v>
      </c>
      <c r="K45" s="8"/>
    </row>
    <row r="46" spans="2:11">
      <c r="B46" s="74">
        <v>1</v>
      </c>
      <c r="C46" s="467" t="s">
        <v>108</v>
      </c>
      <c r="D46" s="468"/>
      <c r="E46" s="468"/>
      <c r="F46" s="468"/>
      <c r="G46" s="468"/>
      <c r="H46" s="469"/>
      <c r="I46" s="240">
        <f>ROUND((I18*9.075%)+(I18*(9.075%)*H29),2)</f>
        <v>0</v>
      </c>
      <c r="K46" s="8"/>
    </row>
    <row r="47" spans="2:11">
      <c r="B47" s="74">
        <v>2</v>
      </c>
      <c r="C47" s="587" t="s">
        <v>109</v>
      </c>
      <c r="D47" s="588"/>
      <c r="E47" s="588"/>
      <c r="F47" s="588"/>
      <c r="G47" s="588"/>
      <c r="H47" s="589"/>
      <c r="I47" s="240">
        <f>ROUND((1/30)/12*(I18+I35+I55+I46+I43+I29),2)</f>
        <v>0</v>
      </c>
      <c r="K47" s="8"/>
    </row>
    <row r="48" spans="2:11">
      <c r="B48" s="74">
        <v>3</v>
      </c>
      <c r="C48" s="587" t="s">
        <v>110</v>
      </c>
      <c r="D48" s="588"/>
      <c r="E48" s="588"/>
      <c r="F48" s="588"/>
      <c r="G48" s="588"/>
      <c r="H48" s="589"/>
      <c r="I48" s="240">
        <f>ROUND((((1/30)*5)/12*(I18+I35+I43+I46+I55+I29)*0.015),2)</f>
        <v>0</v>
      </c>
      <c r="K48" s="8"/>
    </row>
    <row r="49" spans="2:11">
      <c r="B49" s="74">
        <v>4</v>
      </c>
      <c r="C49" s="587" t="s">
        <v>111</v>
      </c>
      <c r="D49" s="588"/>
      <c r="E49" s="588"/>
      <c r="F49" s="588"/>
      <c r="G49" s="588"/>
      <c r="H49" s="589"/>
      <c r="I49" s="240">
        <f>ROUND((((($I$18+I35+I43+I46+I55+I29)/30*0.69)/12)),2)</f>
        <v>0</v>
      </c>
      <c r="K49" s="8"/>
    </row>
    <row r="50" spans="2:11">
      <c r="B50" s="74">
        <v>5</v>
      </c>
      <c r="C50" s="587" t="s">
        <v>112</v>
      </c>
      <c r="D50" s="588"/>
      <c r="E50" s="588"/>
      <c r="F50" s="588"/>
      <c r="G50" s="588"/>
      <c r="H50" s="589"/>
      <c r="I50" s="241">
        <f>ROUND((((($I$18*0.121)+(H29)*(I18*0.121))*(4/12)))*0.02,2) + ((H26*I18 + H29*I32 + I55 + I43)*4/12)*0.02</f>
        <v>0</v>
      </c>
      <c r="K50" s="8"/>
    </row>
    <row r="51" spans="2:11">
      <c r="B51" s="74">
        <v>6</v>
      </c>
      <c r="C51" s="587" t="s">
        <v>113</v>
      </c>
      <c r="D51" s="588"/>
      <c r="E51" s="588"/>
      <c r="F51" s="588"/>
      <c r="G51" s="588"/>
      <c r="H51" s="589"/>
      <c r="I51" s="241">
        <f>ROUND(((3/30)/12)*(I18+I35+I43+I46+I55+I29),2)</f>
        <v>0</v>
      </c>
      <c r="K51" s="8"/>
    </row>
    <row r="52" spans="2:11">
      <c r="B52" s="438" t="s">
        <v>80</v>
      </c>
      <c r="C52" s="470"/>
      <c r="D52" s="470"/>
      <c r="E52" s="470"/>
      <c r="F52" s="470"/>
      <c r="G52" s="470"/>
      <c r="H52" s="471"/>
      <c r="I52" s="126">
        <f>SUM(I46:I51)</f>
        <v>0</v>
      </c>
      <c r="K52" s="8"/>
    </row>
    <row r="53" spans="2:11">
      <c r="B53" s="72"/>
      <c r="H53" s="77"/>
      <c r="I53" s="73"/>
      <c r="K53" s="8"/>
    </row>
    <row r="54" spans="2:11">
      <c r="B54" s="112" t="s">
        <v>114</v>
      </c>
      <c r="C54" s="472" t="s">
        <v>115</v>
      </c>
      <c r="D54" s="473"/>
      <c r="E54" s="473"/>
      <c r="F54" s="473"/>
      <c r="G54" s="473"/>
      <c r="H54" s="474"/>
      <c r="I54" s="113" t="s">
        <v>77</v>
      </c>
      <c r="K54" s="8"/>
    </row>
    <row r="55" spans="2:11">
      <c r="B55" s="74">
        <v>1</v>
      </c>
      <c r="C55" s="450" t="s">
        <v>116</v>
      </c>
      <c r="D55" s="429"/>
      <c r="E55" s="429"/>
      <c r="F55" s="429"/>
      <c r="G55" s="429"/>
      <c r="H55" s="451"/>
      <c r="I55" s="120">
        <v>0</v>
      </c>
      <c r="K55" s="8"/>
    </row>
    <row r="56" spans="2:11">
      <c r="B56" s="74">
        <v>2</v>
      </c>
      <c r="C56" s="450" t="s">
        <v>117</v>
      </c>
      <c r="D56" s="429"/>
      <c r="E56" s="429"/>
      <c r="F56" s="429"/>
      <c r="G56" s="429"/>
      <c r="H56" s="451"/>
      <c r="I56" s="120">
        <v>0</v>
      </c>
      <c r="K56" s="8"/>
    </row>
    <row r="57" spans="2:11">
      <c r="B57" s="442" t="s">
        <v>80</v>
      </c>
      <c r="C57" s="489"/>
      <c r="D57" s="489"/>
      <c r="E57" s="489"/>
      <c r="F57" s="489"/>
      <c r="G57" s="489"/>
      <c r="H57" s="490"/>
      <c r="I57" s="118">
        <f>SUM(I55:I56)</f>
        <v>0</v>
      </c>
      <c r="K57" s="8"/>
    </row>
    <row r="58" spans="2:11">
      <c r="B58" s="72"/>
      <c r="H58" s="76"/>
      <c r="I58" s="73"/>
      <c r="K58" s="8"/>
    </row>
    <row r="59" spans="2:11">
      <c r="B59" s="438" t="s">
        <v>177</v>
      </c>
      <c r="C59" s="470"/>
      <c r="D59" s="470"/>
      <c r="E59" s="470"/>
      <c r="F59" s="470"/>
      <c r="G59" s="470"/>
      <c r="H59" s="471"/>
      <c r="I59" s="125">
        <f>I57+I52+I43+I35+I29+I18</f>
        <v>0</v>
      </c>
      <c r="K59" s="8"/>
    </row>
    <row r="60" spans="2:11">
      <c r="B60" s="72"/>
      <c r="H60" s="65"/>
      <c r="I60" s="73"/>
      <c r="K60" s="8"/>
    </row>
    <row r="61" spans="2:11">
      <c r="B61" s="439" t="s">
        <v>119</v>
      </c>
      <c r="C61" s="440"/>
      <c r="D61" s="440"/>
      <c r="E61" s="440"/>
      <c r="F61" s="440"/>
      <c r="G61" s="440"/>
      <c r="H61" s="440"/>
      <c r="I61" s="441"/>
      <c r="K61" s="8"/>
    </row>
    <row r="62" spans="2:11">
      <c r="B62" s="72"/>
      <c r="H62" s="65"/>
      <c r="I62" s="73"/>
      <c r="K62" s="8"/>
    </row>
    <row r="63" spans="2:11">
      <c r="B63" s="112" t="s">
        <v>75</v>
      </c>
      <c r="C63" s="472" t="s">
        <v>120</v>
      </c>
      <c r="D63" s="473"/>
      <c r="E63" s="473"/>
      <c r="F63" s="473"/>
      <c r="G63" s="473"/>
      <c r="H63" s="590"/>
      <c r="I63" s="113" t="s">
        <v>77</v>
      </c>
      <c r="K63" s="8"/>
    </row>
    <row r="64" spans="2:11">
      <c r="B64" s="74">
        <v>1</v>
      </c>
      <c r="C64" s="430" t="s">
        <v>121</v>
      </c>
      <c r="D64" s="431"/>
      <c r="E64" s="431"/>
      <c r="F64" s="431"/>
      <c r="G64" s="594"/>
      <c r="H64" s="235">
        <f>UNIFORMES_EQUIPAMENTOS!C20</f>
        <v>0</v>
      </c>
      <c r="I64" s="99">
        <f>H64*1</f>
        <v>0</v>
      </c>
      <c r="K64" s="8"/>
    </row>
    <row r="65" spans="2:11">
      <c r="B65" s="74">
        <v>2</v>
      </c>
      <c r="C65" s="430" t="s">
        <v>122</v>
      </c>
      <c r="D65" s="431"/>
      <c r="E65" s="431"/>
      <c r="F65" s="431"/>
      <c r="G65" s="594"/>
      <c r="H65" s="235">
        <f>UNIFORMES_EQUIPAMENTOS!H15</f>
        <v>0</v>
      </c>
      <c r="I65" s="99">
        <f>H65*1</f>
        <v>0</v>
      </c>
      <c r="K65" s="8"/>
    </row>
    <row r="66" spans="2:11">
      <c r="B66" s="74">
        <v>4</v>
      </c>
      <c r="C66" s="430" t="s">
        <v>123</v>
      </c>
      <c r="D66" s="431"/>
      <c r="E66" s="431"/>
      <c r="F66" s="431"/>
      <c r="G66" s="594"/>
      <c r="H66" s="250">
        <v>0</v>
      </c>
      <c r="I66" s="99">
        <f>(I59+I64+I65)*H66</f>
        <v>0</v>
      </c>
      <c r="K66" s="8"/>
    </row>
    <row r="67" spans="2:11">
      <c r="B67" s="74">
        <v>5</v>
      </c>
      <c r="C67" s="430" t="s">
        <v>124</v>
      </c>
      <c r="D67" s="431"/>
      <c r="E67" s="431"/>
      <c r="F67" s="431"/>
      <c r="G67" s="594"/>
      <c r="H67" s="250">
        <v>0</v>
      </c>
      <c r="I67" s="99">
        <f>(I59+I64+I65+I66)*H67</f>
        <v>0</v>
      </c>
      <c r="K67" s="8"/>
    </row>
    <row r="68" spans="2:11">
      <c r="B68" s="438" t="s">
        <v>125</v>
      </c>
      <c r="C68" s="470"/>
      <c r="D68" s="470"/>
      <c r="E68" s="470"/>
      <c r="F68" s="470"/>
      <c r="G68" s="470"/>
      <c r="H68" s="471"/>
      <c r="I68" s="124">
        <f>SUM(I64:I67)</f>
        <v>0</v>
      </c>
      <c r="K68" s="8"/>
    </row>
    <row r="69" spans="2:11">
      <c r="B69" s="72"/>
      <c r="H69" s="65"/>
      <c r="I69" s="73"/>
      <c r="K69" s="8"/>
    </row>
    <row r="70" spans="2:11">
      <c r="B70" s="439" t="s">
        <v>126</v>
      </c>
      <c r="C70" s="440"/>
      <c r="D70" s="440"/>
      <c r="E70" s="440"/>
      <c r="F70" s="440"/>
      <c r="G70" s="440"/>
      <c r="H70" s="440"/>
      <c r="I70" s="441"/>
      <c r="K70" s="8"/>
    </row>
    <row r="71" spans="2:11">
      <c r="B71" s="72"/>
      <c r="H71" s="65"/>
      <c r="I71" s="73"/>
      <c r="K71" s="8"/>
    </row>
    <row r="72" spans="2:11">
      <c r="B72" s="112" t="s">
        <v>75</v>
      </c>
      <c r="C72" s="472" t="s">
        <v>127</v>
      </c>
      <c r="D72" s="473"/>
      <c r="E72" s="473"/>
      <c r="F72" s="473"/>
      <c r="G72" s="473"/>
      <c r="H72" s="474"/>
      <c r="I72" s="113" t="s">
        <v>77</v>
      </c>
      <c r="K72" s="8"/>
    </row>
    <row r="73" spans="2:11">
      <c r="B73" s="74">
        <v>1</v>
      </c>
      <c r="C73" s="179" t="s">
        <v>128</v>
      </c>
      <c r="D73" s="180"/>
      <c r="E73" s="180"/>
      <c r="F73" s="180"/>
      <c r="G73" s="181"/>
      <c r="H73" s="253">
        <v>0</v>
      </c>
      <c r="I73" s="237">
        <f>(ROUND((44*(H73))-(I11*0.06),2))*1</f>
        <v>0</v>
      </c>
      <c r="K73" s="8"/>
    </row>
    <row r="74" spans="2:11">
      <c r="B74" s="74">
        <v>2</v>
      </c>
      <c r="C74" s="450" t="s">
        <v>129</v>
      </c>
      <c r="D74" s="429"/>
      <c r="E74" s="429"/>
      <c r="F74" s="429"/>
      <c r="G74" s="429"/>
      <c r="H74" s="296">
        <v>0</v>
      </c>
      <c r="I74" s="119">
        <f>(ROUND((H74*22)*0.8,2))</f>
        <v>0</v>
      </c>
      <c r="K74" s="8"/>
    </row>
    <row r="75" spans="2:11">
      <c r="B75" s="74">
        <v>3</v>
      </c>
      <c r="C75" s="450" t="s">
        <v>150</v>
      </c>
      <c r="D75" s="429"/>
      <c r="E75" s="429"/>
      <c r="F75" s="429"/>
      <c r="G75" s="429"/>
      <c r="H75" s="296">
        <v>0</v>
      </c>
      <c r="I75" s="237">
        <f>H75</f>
        <v>0</v>
      </c>
      <c r="K75" s="8"/>
    </row>
    <row r="76" spans="2:11">
      <c r="B76" s="74">
        <v>4</v>
      </c>
      <c r="C76" s="450" t="s">
        <v>131</v>
      </c>
      <c r="D76" s="429"/>
      <c r="E76" s="429"/>
      <c r="F76" s="429"/>
      <c r="G76" s="429"/>
      <c r="H76" s="239">
        <v>339.49</v>
      </c>
      <c r="I76" s="237">
        <f>H76*3.5</f>
        <v>1188.2150000000001</v>
      </c>
      <c r="K76" s="8"/>
    </row>
    <row r="77" spans="2:11">
      <c r="B77" s="591" t="s">
        <v>132</v>
      </c>
      <c r="C77" s="592"/>
      <c r="D77" s="592"/>
      <c r="E77" s="592"/>
      <c r="F77" s="592"/>
      <c r="G77" s="592"/>
      <c r="H77" s="593"/>
      <c r="I77" s="129">
        <f>SUM(I73:I76)</f>
        <v>1188.2150000000001</v>
      </c>
      <c r="K77" s="8"/>
    </row>
    <row r="78" spans="2:11">
      <c r="B78" s="72"/>
      <c r="H78" s="65"/>
      <c r="I78" s="73"/>
      <c r="K78" s="8"/>
    </row>
    <row r="79" spans="2:11">
      <c r="B79" s="439" t="s">
        <v>133</v>
      </c>
      <c r="C79" s="440"/>
      <c r="D79" s="440"/>
      <c r="E79" s="440"/>
      <c r="F79" s="440"/>
      <c r="G79" s="440"/>
      <c r="H79" s="440"/>
      <c r="I79" s="441"/>
      <c r="K79" s="8"/>
    </row>
    <row r="80" spans="2:11">
      <c r="B80" s="72"/>
      <c r="H80" s="65"/>
      <c r="I80" s="73"/>
      <c r="K80" s="8"/>
    </row>
    <row r="81" spans="2:11">
      <c r="B81" s="112" t="s">
        <v>75</v>
      </c>
      <c r="C81" s="472" t="s">
        <v>134</v>
      </c>
      <c r="D81" s="473"/>
      <c r="E81" s="473"/>
      <c r="F81" s="473"/>
      <c r="G81" s="474"/>
      <c r="H81" s="108" t="s">
        <v>83</v>
      </c>
      <c r="I81" s="113" t="s">
        <v>77</v>
      </c>
      <c r="K81" s="8"/>
    </row>
    <row r="82" spans="2:11">
      <c r="B82" s="74">
        <v>1</v>
      </c>
      <c r="C82" s="425" t="s">
        <v>135</v>
      </c>
      <c r="D82" s="426"/>
      <c r="E82" s="426"/>
      <c r="F82" s="426"/>
      <c r="G82" s="427"/>
      <c r="H82" s="249">
        <v>7.5999999999999998E-2</v>
      </c>
      <c r="I82" s="99">
        <f>$I$86/$H$86*H82</f>
        <v>0</v>
      </c>
      <c r="K82" s="8"/>
    </row>
    <row r="83" spans="2:11">
      <c r="B83" s="74">
        <v>2</v>
      </c>
      <c r="C83" s="425" t="s">
        <v>136</v>
      </c>
      <c r="D83" s="426"/>
      <c r="E83" s="426"/>
      <c r="F83" s="426"/>
      <c r="G83" s="427"/>
      <c r="H83" s="249">
        <v>1.6500000000000001E-2</v>
      </c>
      <c r="I83" s="99">
        <f>$I$86/$H$86*H83</f>
        <v>0</v>
      </c>
      <c r="K83" s="8"/>
    </row>
    <row r="84" spans="2:11">
      <c r="B84" s="74">
        <v>3</v>
      </c>
      <c r="C84" s="425" t="s">
        <v>137</v>
      </c>
      <c r="D84" s="426"/>
      <c r="E84" s="426"/>
      <c r="F84" s="426"/>
      <c r="G84" s="427"/>
      <c r="H84" s="249">
        <v>0.05</v>
      </c>
      <c r="I84" s="99">
        <f>$I$86/$H$86*H84</f>
        <v>0</v>
      </c>
      <c r="K84" s="8"/>
    </row>
    <row r="85" spans="2:11">
      <c r="B85" s="193">
        <v>4</v>
      </c>
      <c r="C85" s="425" t="s">
        <v>138</v>
      </c>
      <c r="D85" s="426"/>
      <c r="E85" s="426"/>
      <c r="F85" s="426"/>
      <c r="G85" s="427"/>
      <c r="H85" s="249">
        <v>0</v>
      </c>
      <c r="I85" s="99">
        <f>$I$86/$H$86*H85</f>
        <v>0</v>
      </c>
      <c r="K85" s="8"/>
    </row>
    <row r="86" spans="2:11">
      <c r="B86" s="438" t="s">
        <v>80</v>
      </c>
      <c r="C86" s="470"/>
      <c r="D86" s="470"/>
      <c r="E86" s="470"/>
      <c r="F86" s="470"/>
      <c r="G86" s="471"/>
      <c r="H86" s="128">
        <f>SUM(H82:H85)</f>
        <v>0.14250000000000002</v>
      </c>
      <c r="I86" s="124">
        <f>ROUND(((I59+I68)*$H$86)/(1-$H$86),2)</f>
        <v>0</v>
      </c>
      <c r="K86" s="8"/>
    </row>
    <row r="87" spans="2:11">
      <c r="B87" s="72"/>
      <c r="H87" s="65"/>
      <c r="I87" s="73"/>
      <c r="K87" s="8"/>
    </row>
    <row r="88" spans="2:11">
      <c r="B88" s="112" t="s">
        <v>75</v>
      </c>
      <c r="C88" s="472" t="s">
        <v>139</v>
      </c>
      <c r="D88" s="473"/>
      <c r="E88" s="473"/>
      <c r="F88" s="473"/>
      <c r="G88" s="474"/>
      <c r="H88" s="108" t="s">
        <v>83</v>
      </c>
      <c r="I88" s="113" t="s">
        <v>77</v>
      </c>
      <c r="K88" s="8"/>
    </row>
    <row r="89" spans="2:11">
      <c r="B89" s="74">
        <v>1</v>
      </c>
      <c r="C89" s="425" t="s">
        <v>135</v>
      </c>
      <c r="D89" s="426"/>
      <c r="E89" s="426"/>
      <c r="F89" s="426"/>
      <c r="G89" s="427"/>
      <c r="H89" s="249">
        <v>7.5999999999999998E-2</v>
      </c>
      <c r="I89" s="99">
        <f>$I$93/$H$93*H89</f>
        <v>105.31199999999998</v>
      </c>
      <c r="K89" s="8"/>
    </row>
    <row r="90" spans="2:11">
      <c r="B90" s="74">
        <v>2</v>
      </c>
      <c r="C90" s="425" t="s">
        <v>136</v>
      </c>
      <c r="D90" s="426"/>
      <c r="E90" s="426"/>
      <c r="F90" s="426"/>
      <c r="G90" s="427"/>
      <c r="H90" s="249">
        <v>1.6500000000000001E-2</v>
      </c>
      <c r="I90" s="99">
        <f>$I$93/$H$93*H90</f>
        <v>22.863789473684207</v>
      </c>
      <c r="K90" s="8"/>
    </row>
    <row r="91" spans="2:11">
      <c r="B91" s="74">
        <v>3</v>
      </c>
      <c r="C91" s="425" t="s">
        <v>137</v>
      </c>
      <c r="D91" s="426"/>
      <c r="E91" s="426"/>
      <c r="F91" s="426"/>
      <c r="G91" s="427"/>
      <c r="H91" s="249">
        <v>0.05</v>
      </c>
      <c r="I91" s="99">
        <f>$I$93/$H$93*H91</f>
        <v>69.284210526315789</v>
      </c>
      <c r="K91" s="8"/>
    </row>
    <row r="92" spans="2:11">
      <c r="B92" s="193">
        <v>4</v>
      </c>
      <c r="C92" s="425" t="s">
        <v>138</v>
      </c>
      <c r="D92" s="426"/>
      <c r="E92" s="426"/>
      <c r="F92" s="426"/>
      <c r="G92" s="427"/>
      <c r="H92" s="249">
        <v>0</v>
      </c>
      <c r="I92" s="99">
        <f>$I$93/$H$93*H92</f>
        <v>0</v>
      </c>
      <c r="K92" s="8"/>
    </row>
    <row r="93" spans="2:11">
      <c r="B93" s="438" t="s">
        <v>80</v>
      </c>
      <c r="C93" s="470"/>
      <c r="D93" s="470"/>
      <c r="E93" s="470"/>
      <c r="F93" s="470"/>
      <c r="G93" s="471"/>
      <c r="H93" s="128">
        <f>SUM(H89:H92)</f>
        <v>0.14250000000000002</v>
      </c>
      <c r="I93" s="124">
        <f>ROUND(((I77)*$H$86)/(1-$H$86),2)</f>
        <v>197.46</v>
      </c>
      <c r="K93" s="8"/>
    </row>
    <row r="94" spans="2:11">
      <c r="B94" s="72"/>
      <c r="H94" s="65"/>
      <c r="I94" s="73"/>
      <c r="K94" s="8"/>
    </row>
    <row r="95" spans="2:11">
      <c r="B95" s="438" t="s">
        <v>140</v>
      </c>
      <c r="C95" s="470"/>
      <c r="D95" s="470"/>
      <c r="E95" s="470"/>
      <c r="F95" s="470"/>
      <c r="G95" s="470"/>
      <c r="H95" s="471"/>
      <c r="I95" s="126">
        <f>I93+I86</f>
        <v>197.46</v>
      </c>
      <c r="K95" s="8"/>
    </row>
    <row r="96" spans="2:11">
      <c r="B96" s="72"/>
      <c r="H96" s="65"/>
      <c r="I96" s="73"/>
      <c r="K96" s="8"/>
    </row>
    <row r="97" spans="2:13">
      <c r="B97" s="439" t="s">
        <v>36</v>
      </c>
      <c r="C97" s="440"/>
      <c r="D97" s="440"/>
      <c r="E97" s="440"/>
      <c r="F97" s="440"/>
      <c r="G97" s="440"/>
      <c r="H97" s="440"/>
      <c r="I97" s="441"/>
      <c r="K97" s="8"/>
    </row>
    <row r="98" spans="2:13">
      <c r="B98" s="72"/>
      <c r="H98" s="65"/>
      <c r="I98" s="73"/>
      <c r="K98" s="8"/>
    </row>
    <row r="99" spans="2:13">
      <c r="B99" s="438" t="s">
        <v>141</v>
      </c>
      <c r="C99" s="470"/>
      <c r="D99" s="470"/>
      <c r="E99" s="470"/>
      <c r="F99" s="470"/>
      <c r="G99" s="470"/>
      <c r="H99" s="471"/>
      <c r="I99" s="124">
        <f>I59+I68+I86</f>
        <v>0</v>
      </c>
      <c r="K99" s="8"/>
      <c r="M99" s="12"/>
    </row>
    <row r="100" spans="2:13">
      <c r="B100" s="78"/>
      <c r="C100" s="79"/>
      <c r="D100" s="79"/>
      <c r="E100" s="79"/>
      <c r="F100" s="79"/>
      <c r="G100" s="79"/>
      <c r="H100" s="80"/>
      <c r="I100" s="122"/>
      <c r="K100" s="8"/>
    </row>
    <row r="101" spans="2:13">
      <c r="B101" s="438" t="s">
        <v>142</v>
      </c>
      <c r="C101" s="470"/>
      <c r="D101" s="470"/>
      <c r="E101" s="470"/>
      <c r="F101" s="470"/>
      <c r="G101" s="470"/>
      <c r="H101" s="471"/>
      <c r="I101" s="124">
        <f>I77+I93</f>
        <v>1385.6750000000002</v>
      </c>
      <c r="K101" s="8"/>
    </row>
    <row r="102" spans="2:13">
      <c r="B102" s="78"/>
      <c r="C102" s="79"/>
      <c r="D102" s="79"/>
      <c r="E102" s="79"/>
      <c r="F102" s="79"/>
      <c r="G102" s="79"/>
      <c r="H102" s="80"/>
      <c r="I102" s="122"/>
      <c r="K102" s="8"/>
    </row>
    <row r="103" spans="2:13" ht="15.75" thickBot="1">
      <c r="B103" s="452" t="s">
        <v>143</v>
      </c>
      <c r="C103" s="453"/>
      <c r="D103" s="453"/>
      <c r="E103" s="453"/>
      <c r="F103" s="453"/>
      <c r="G103" s="453"/>
      <c r="H103" s="454"/>
      <c r="I103" s="236">
        <f>I59+I68+I77+I95</f>
        <v>1385.6750000000002</v>
      </c>
    </row>
    <row r="105" spans="2:13">
      <c r="B105" s="397"/>
      <c r="C105" s="397"/>
      <c r="D105" s="397"/>
      <c r="E105" s="397"/>
      <c r="F105" s="397"/>
      <c r="G105" s="397"/>
    </row>
    <row r="106" spans="2:13">
      <c r="E106" s="394"/>
      <c r="F106" s="394"/>
      <c r="G106" s="394"/>
      <c r="H106" s="394"/>
      <c r="I106" s="394"/>
    </row>
    <row r="107" spans="2:13" ht="18">
      <c r="E107" s="395"/>
      <c r="F107" s="395"/>
      <c r="G107" s="396"/>
      <c r="H107" s="396"/>
      <c r="I107" s="396"/>
    </row>
  </sheetData>
  <sheetProtection selectLockedCells="1"/>
  <mergeCells count="82">
    <mergeCell ref="C28:G28"/>
    <mergeCell ref="B29:G29"/>
    <mergeCell ref="C22:G22"/>
    <mergeCell ref="C23:G23"/>
    <mergeCell ref="C24:G24"/>
    <mergeCell ref="C25:G25"/>
    <mergeCell ref="C26:G26"/>
    <mergeCell ref="B18:H18"/>
    <mergeCell ref="C20:G20"/>
    <mergeCell ref="C21:G21"/>
    <mergeCell ref="B9:I9"/>
    <mergeCell ref="B11:H11"/>
    <mergeCell ref="B13:I13"/>
    <mergeCell ref="C15:H15"/>
    <mergeCell ref="C16:H16"/>
    <mergeCell ref="B2:I2"/>
    <mergeCell ref="B5:I5"/>
    <mergeCell ref="B6:I6"/>
    <mergeCell ref="B7:I7"/>
    <mergeCell ref="B8:I8"/>
    <mergeCell ref="C31:G31"/>
    <mergeCell ref="C32:G32"/>
    <mergeCell ref="C33:G33"/>
    <mergeCell ref="C40:G40"/>
    <mergeCell ref="C41:G41"/>
    <mergeCell ref="C42:G42"/>
    <mergeCell ref="B43:G43"/>
    <mergeCell ref="C34:G34"/>
    <mergeCell ref="B35:G35"/>
    <mergeCell ref="C37:G37"/>
    <mergeCell ref="C38:G38"/>
    <mergeCell ref="C39:G39"/>
    <mergeCell ref="C63:H63"/>
    <mergeCell ref="C56:H56"/>
    <mergeCell ref="C45:G45"/>
    <mergeCell ref="C46:H46"/>
    <mergeCell ref="C47:H47"/>
    <mergeCell ref="C48:H48"/>
    <mergeCell ref="C49:H49"/>
    <mergeCell ref="B77:H77"/>
    <mergeCell ref="B79:I79"/>
    <mergeCell ref="C81:G81"/>
    <mergeCell ref="B68:H68"/>
    <mergeCell ref="B70:I70"/>
    <mergeCell ref="C72:H72"/>
    <mergeCell ref="C82:G82"/>
    <mergeCell ref="B101:H101"/>
    <mergeCell ref="C83:G83"/>
    <mergeCell ref="C84:G84"/>
    <mergeCell ref="B86:G86"/>
    <mergeCell ref="C88:G88"/>
    <mergeCell ref="C89:G89"/>
    <mergeCell ref="C90:G90"/>
    <mergeCell ref="C91:G91"/>
    <mergeCell ref="B93:G93"/>
    <mergeCell ref="B95:H95"/>
    <mergeCell ref="B97:I97"/>
    <mergeCell ref="B99:H99"/>
    <mergeCell ref="C85:G85"/>
    <mergeCell ref="C92:G92"/>
    <mergeCell ref="B103:H103"/>
    <mergeCell ref="E106:F106"/>
    <mergeCell ref="G106:I106"/>
    <mergeCell ref="E107:F107"/>
    <mergeCell ref="G107:I107"/>
    <mergeCell ref="B105:G105"/>
    <mergeCell ref="B1:I1"/>
    <mergeCell ref="C66:G66"/>
    <mergeCell ref="C67:G67"/>
    <mergeCell ref="C76:G76"/>
    <mergeCell ref="C74:G74"/>
    <mergeCell ref="C75:G75"/>
    <mergeCell ref="C64:G64"/>
    <mergeCell ref="C65:G65"/>
    <mergeCell ref="C54:H54"/>
    <mergeCell ref="C50:H50"/>
    <mergeCell ref="C51:H51"/>
    <mergeCell ref="B52:H52"/>
    <mergeCell ref="C55:H55"/>
    <mergeCell ref="B57:H57"/>
    <mergeCell ref="B59:H59"/>
    <mergeCell ref="B61:I61"/>
  </mergeCells>
  <pageMargins left="0.511811024" right="0.511811024" top="0.78740157499999996" bottom="0.78740157499999996" header="0.31496062000000002" footer="0.31496062000000002"/>
  <pageSetup paperSize="9" scale="77" orientation="portrait" r:id="rId1"/>
  <rowBreaks count="1" manualBreakCount="1">
    <brk id="60" max="8"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B1:M72"/>
  <sheetViews>
    <sheetView topLeftCell="A4" zoomScaleNormal="100" workbookViewId="0">
      <selection activeCell="C14" sqref="C14:G14"/>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s>
  <sheetData>
    <row r="1" spans="2:10" ht="15.75" thickBot="1"/>
    <row r="2" spans="2:10">
      <c r="B2" s="491" t="s">
        <v>67</v>
      </c>
      <c r="C2" s="492"/>
      <c r="D2" s="492"/>
      <c r="E2" s="492"/>
      <c r="F2" s="492"/>
      <c r="G2" s="492"/>
      <c r="H2" s="492"/>
      <c r="I2" s="493"/>
    </row>
    <row r="3" spans="2:10">
      <c r="B3" s="64"/>
      <c r="H3" s="65"/>
      <c r="I3" s="66"/>
    </row>
    <row r="4" spans="2:10">
      <c r="B4" s="67"/>
      <c r="C4" s="68"/>
      <c r="D4" s="68"/>
      <c r="E4" s="68"/>
      <c r="F4" s="68"/>
      <c r="G4" s="68"/>
      <c r="H4" s="69"/>
      <c r="I4" s="70"/>
    </row>
    <row r="5" spans="2:10">
      <c r="B5" s="434" t="s">
        <v>68</v>
      </c>
      <c r="C5" s="435"/>
      <c r="D5" s="435"/>
      <c r="E5" s="435"/>
      <c r="F5" s="435"/>
      <c r="G5" s="435"/>
      <c r="H5" s="435"/>
      <c r="I5" s="436"/>
    </row>
    <row r="6" spans="2:10">
      <c r="B6" s="487" t="s">
        <v>72</v>
      </c>
      <c r="C6" s="596"/>
      <c r="D6" s="596"/>
      <c r="E6" s="596"/>
      <c r="F6" s="596"/>
      <c r="G6" s="596"/>
      <c r="H6" s="596"/>
      <c r="I6" s="488"/>
    </row>
    <row r="7" spans="2:10">
      <c r="B7" s="67"/>
      <c r="C7" s="68"/>
      <c r="D7" s="68"/>
      <c r="E7" s="68"/>
      <c r="F7" s="68"/>
      <c r="G7" s="68"/>
      <c r="H7" s="69"/>
      <c r="I7" s="70"/>
    </row>
    <row r="8" spans="2:10">
      <c r="B8" s="442" t="s">
        <v>178</v>
      </c>
      <c r="C8" s="489"/>
      <c r="D8" s="489"/>
      <c r="E8" s="489"/>
      <c r="F8" s="489"/>
      <c r="G8" s="489"/>
      <c r="H8" s="490"/>
      <c r="I8" s="71">
        <f>'1 - Assistente de M. de Veículo'!I10</f>
        <v>0</v>
      </c>
    </row>
    <row r="9" spans="2:10">
      <c r="B9" s="72"/>
      <c r="H9" s="65"/>
      <c r="I9" s="73"/>
    </row>
    <row r="10" spans="2:10">
      <c r="B10" s="439" t="s">
        <v>74</v>
      </c>
      <c r="C10" s="440"/>
      <c r="D10" s="440"/>
      <c r="E10" s="440"/>
      <c r="F10" s="440"/>
      <c r="G10" s="440"/>
      <c r="H10" s="440"/>
      <c r="I10" s="441"/>
    </row>
    <row r="11" spans="2:10">
      <c r="B11" s="72"/>
      <c r="H11" s="65"/>
      <c r="I11" s="73"/>
    </row>
    <row r="12" spans="2:10">
      <c r="B12" s="112" t="s">
        <v>75</v>
      </c>
      <c r="C12" s="472" t="s">
        <v>76</v>
      </c>
      <c r="D12" s="473"/>
      <c r="E12" s="473"/>
      <c r="F12" s="473"/>
      <c r="G12" s="473"/>
      <c r="H12" s="474"/>
      <c r="I12" s="113" t="s">
        <v>77</v>
      </c>
    </row>
    <row r="13" spans="2:10">
      <c r="B13" s="136">
        <v>1</v>
      </c>
      <c r="C13" s="137" t="s">
        <v>179</v>
      </c>
      <c r="D13" s="138"/>
      <c r="E13" s="138"/>
      <c r="F13" s="138"/>
      <c r="G13" s="138"/>
      <c r="H13" s="139"/>
      <c r="I13" s="99">
        <f>(I8/220)</f>
        <v>0</v>
      </c>
    </row>
    <row r="14" spans="2:10" ht="41.25" customHeight="1">
      <c r="B14" s="136">
        <v>2</v>
      </c>
      <c r="C14" s="485" t="s">
        <v>180</v>
      </c>
      <c r="D14" s="486"/>
      <c r="E14" s="486"/>
      <c r="F14" s="486"/>
      <c r="G14" s="486"/>
      <c r="H14" s="235">
        <v>1945.67</v>
      </c>
      <c r="I14" s="99">
        <f>(H14/220)*0.4</f>
        <v>3.5375818181818186</v>
      </c>
    </row>
    <row r="15" spans="2:10" ht="24.75" customHeight="1">
      <c r="B15" s="172">
        <v>3</v>
      </c>
      <c r="C15" s="476" t="s">
        <v>181</v>
      </c>
      <c r="D15" s="477"/>
      <c r="E15" s="477"/>
      <c r="F15" s="477"/>
      <c r="G15" s="477"/>
      <c r="H15" s="478"/>
      <c r="I15" s="242">
        <f>(I13+I14)*0.5</f>
        <v>1.7687909090909093</v>
      </c>
    </row>
    <row r="16" spans="2:10" ht="19.5" customHeight="1">
      <c r="B16" s="177">
        <v>4</v>
      </c>
      <c r="C16" s="479" t="s">
        <v>182</v>
      </c>
      <c r="D16" s="480"/>
      <c r="E16" s="480"/>
      <c r="F16" s="480"/>
      <c r="G16" s="480"/>
      <c r="H16" s="481"/>
      <c r="I16" s="242">
        <f>(I13+I14+I15)*(5/25)</f>
        <v>1.0612745454545456</v>
      </c>
      <c r="J16" s="85"/>
    </row>
    <row r="17" spans="2:9">
      <c r="B17" s="482" t="s">
        <v>80</v>
      </c>
      <c r="C17" s="483"/>
      <c r="D17" s="483"/>
      <c r="E17" s="483"/>
      <c r="F17" s="483"/>
      <c r="G17" s="483"/>
      <c r="H17" s="484"/>
      <c r="I17" s="183">
        <f>SUM(I13:I16)</f>
        <v>6.3676472727272735</v>
      </c>
    </row>
    <row r="18" spans="2:9">
      <c r="B18" s="72"/>
      <c r="H18" s="76"/>
      <c r="I18" s="73"/>
    </row>
    <row r="19" spans="2:9">
      <c r="B19" s="112" t="s">
        <v>81</v>
      </c>
      <c r="C19" s="472" t="s">
        <v>82</v>
      </c>
      <c r="D19" s="473"/>
      <c r="E19" s="473"/>
      <c r="F19" s="473"/>
      <c r="G19" s="474"/>
      <c r="H19" s="108" t="s">
        <v>83</v>
      </c>
      <c r="I19" s="113" t="s">
        <v>77</v>
      </c>
    </row>
    <row r="20" spans="2:9">
      <c r="B20" s="74">
        <v>1</v>
      </c>
      <c r="C20" s="425" t="s">
        <v>84</v>
      </c>
      <c r="D20" s="426"/>
      <c r="E20" s="426"/>
      <c r="F20" s="426"/>
      <c r="G20" s="427"/>
      <c r="H20" s="249">
        <v>0.2</v>
      </c>
      <c r="I20" s="116">
        <f>ROUND($I$17*H20,2)</f>
        <v>1.27</v>
      </c>
    </row>
    <row r="21" spans="2:9">
      <c r="B21" s="74">
        <v>2</v>
      </c>
      <c r="C21" s="425" t="s">
        <v>85</v>
      </c>
      <c r="D21" s="426"/>
      <c r="E21" s="426"/>
      <c r="F21" s="426"/>
      <c r="G21" s="427"/>
      <c r="H21" s="249">
        <v>1.4999999999999999E-2</v>
      </c>
      <c r="I21" s="116">
        <f t="shared" ref="I21:I27" si="0">ROUND($I$17*H21,2)</f>
        <v>0.1</v>
      </c>
    </row>
    <row r="22" spans="2:9">
      <c r="B22" s="74">
        <v>3</v>
      </c>
      <c r="C22" s="425" t="s">
        <v>86</v>
      </c>
      <c r="D22" s="426"/>
      <c r="E22" s="426"/>
      <c r="F22" s="426"/>
      <c r="G22" s="427"/>
      <c r="H22" s="249">
        <v>0.01</v>
      </c>
      <c r="I22" s="116">
        <f t="shared" si="0"/>
        <v>0.06</v>
      </c>
    </row>
    <row r="23" spans="2:9">
      <c r="B23" s="74">
        <v>4</v>
      </c>
      <c r="C23" s="425" t="s">
        <v>87</v>
      </c>
      <c r="D23" s="426"/>
      <c r="E23" s="426"/>
      <c r="F23" s="426"/>
      <c r="G23" s="427"/>
      <c r="H23" s="249">
        <v>2E-3</v>
      </c>
      <c r="I23" s="116">
        <f t="shared" si="0"/>
        <v>0.01</v>
      </c>
    </row>
    <row r="24" spans="2:9">
      <c r="B24" s="74">
        <v>5</v>
      </c>
      <c r="C24" s="425" t="s">
        <v>88</v>
      </c>
      <c r="D24" s="426"/>
      <c r="E24" s="426"/>
      <c r="F24" s="426"/>
      <c r="G24" s="427"/>
      <c r="H24" s="249">
        <v>2.5000000000000001E-2</v>
      </c>
      <c r="I24" s="116">
        <f t="shared" si="0"/>
        <v>0.16</v>
      </c>
    </row>
    <row r="25" spans="2:9">
      <c r="B25" s="74">
        <v>6</v>
      </c>
      <c r="C25" s="425" t="s">
        <v>89</v>
      </c>
      <c r="D25" s="426"/>
      <c r="E25" s="426"/>
      <c r="F25" s="426"/>
      <c r="G25" s="427"/>
      <c r="H25" s="249">
        <v>0.08</v>
      </c>
      <c r="I25" s="116">
        <f t="shared" si="0"/>
        <v>0.51</v>
      </c>
    </row>
    <row r="26" spans="2:9">
      <c r="B26" s="74">
        <v>7</v>
      </c>
      <c r="C26" s="1" t="s">
        <v>90</v>
      </c>
      <c r="D26" s="305" t="s">
        <v>91</v>
      </c>
      <c r="E26" s="306">
        <v>0.03</v>
      </c>
      <c r="F26" s="305" t="s">
        <v>92</v>
      </c>
      <c r="G26" s="307">
        <v>1</v>
      </c>
      <c r="H26" s="249">
        <f>E26*G26</f>
        <v>0.03</v>
      </c>
      <c r="I26" s="116">
        <f t="shared" si="0"/>
        <v>0.19</v>
      </c>
    </row>
    <row r="27" spans="2:9">
      <c r="B27" s="74">
        <v>8</v>
      </c>
      <c r="C27" s="425" t="s">
        <v>93</v>
      </c>
      <c r="D27" s="426"/>
      <c r="E27" s="426"/>
      <c r="F27" s="426"/>
      <c r="G27" s="427"/>
      <c r="H27" s="249">
        <v>6.0000000000000001E-3</v>
      </c>
      <c r="I27" s="116">
        <f t="shared" si="0"/>
        <v>0.04</v>
      </c>
    </row>
    <row r="28" spans="2:9">
      <c r="B28" s="438" t="s">
        <v>80</v>
      </c>
      <c r="C28" s="470"/>
      <c r="D28" s="470"/>
      <c r="E28" s="470"/>
      <c r="F28" s="470"/>
      <c r="G28" s="471"/>
      <c r="H28" s="128">
        <f>SUM(H20:H27)</f>
        <v>0.3680000000000001</v>
      </c>
      <c r="I28" s="126">
        <f>SUM(I20:I27)</f>
        <v>2.3400000000000003</v>
      </c>
    </row>
    <row r="29" spans="2:9">
      <c r="B29" s="72"/>
      <c r="H29" s="76"/>
      <c r="I29" s="73"/>
    </row>
    <row r="30" spans="2:9">
      <c r="B30" s="112" t="s">
        <v>94</v>
      </c>
      <c r="C30" s="472" t="s">
        <v>95</v>
      </c>
      <c r="D30" s="473"/>
      <c r="E30" s="473"/>
      <c r="F30" s="473"/>
      <c r="G30" s="474"/>
      <c r="H30" s="108" t="s">
        <v>83</v>
      </c>
      <c r="I30" s="113" t="s">
        <v>77</v>
      </c>
    </row>
    <row r="31" spans="2:9">
      <c r="B31" s="74">
        <v>1</v>
      </c>
      <c r="C31" s="465" t="s">
        <v>96</v>
      </c>
      <c r="D31" s="466"/>
      <c r="E31" s="466"/>
      <c r="F31" s="466"/>
      <c r="G31" s="475"/>
      <c r="H31" s="225">
        <f>ROUND(1/12,4)</f>
        <v>8.3299999999999999E-2</v>
      </c>
      <c r="I31" s="116">
        <f>ROUND($I$17*H31,2)</f>
        <v>0.53</v>
      </c>
    </row>
    <row r="32" spans="2:9">
      <c r="B32" s="74">
        <v>2</v>
      </c>
      <c r="C32" s="467" t="s">
        <v>97</v>
      </c>
      <c r="D32" s="468"/>
      <c r="E32" s="468"/>
      <c r="F32" s="468"/>
      <c r="G32" s="469"/>
      <c r="H32" s="231">
        <v>3.0249999999999999E-2</v>
      </c>
      <c r="I32" s="116">
        <f>ROUND($I$17*H32,2)</f>
        <v>0.19</v>
      </c>
    </row>
    <row r="33" spans="2:11">
      <c r="B33" s="74">
        <v>3</v>
      </c>
      <c r="C33" s="467" t="s">
        <v>98</v>
      </c>
      <c r="D33" s="468"/>
      <c r="E33" s="468"/>
      <c r="F33" s="468"/>
      <c r="G33" s="469"/>
      <c r="H33" s="232">
        <f>ROUND((H31+H32)*H28,4)</f>
        <v>4.1799999999999997E-2</v>
      </c>
      <c r="I33" s="116">
        <f>ROUND($I$17*H33,2)</f>
        <v>0.27</v>
      </c>
      <c r="K33" s="7"/>
    </row>
    <row r="34" spans="2:11">
      <c r="B34" s="438" t="s">
        <v>80</v>
      </c>
      <c r="C34" s="470"/>
      <c r="D34" s="470"/>
      <c r="E34" s="470"/>
      <c r="F34" s="470"/>
      <c r="G34" s="471"/>
      <c r="H34" s="128">
        <f>SUM(H31:H33)</f>
        <v>0.15534999999999999</v>
      </c>
      <c r="I34" s="126">
        <f>SUM(I31:I33)</f>
        <v>0.99</v>
      </c>
    </row>
    <row r="35" spans="2:11">
      <c r="B35" s="72"/>
      <c r="H35" s="76"/>
      <c r="I35" s="73"/>
    </row>
    <row r="36" spans="2:11">
      <c r="B36" s="112" t="s">
        <v>99</v>
      </c>
      <c r="C36" s="472" t="s">
        <v>100</v>
      </c>
      <c r="D36" s="473"/>
      <c r="E36" s="473"/>
      <c r="F36" s="473"/>
      <c r="G36" s="474"/>
      <c r="H36" s="108" t="s">
        <v>83</v>
      </c>
      <c r="I36" s="113" t="s">
        <v>77</v>
      </c>
    </row>
    <row r="37" spans="2:11">
      <c r="B37" s="74">
        <v>1</v>
      </c>
      <c r="C37" s="467" t="s">
        <v>101</v>
      </c>
      <c r="D37" s="468"/>
      <c r="E37" s="468"/>
      <c r="F37" s="468"/>
      <c r="G37" s="469"/>
      <c r="H37" s="243">
        <f>(1+(1/12)+(1/12)+(1/12/3))/12*0.05</f>
        <v>4.9768518518518512E-3</v>
      </c>
      <c r="I37" s="116">
        <f>ROUND($I$17*H37,2)</f>
        <v>0.03</v>
      </c>
      <c r="K37" s="8"/>
    </row>
    <row r="38" spans="2:11">
      <c r="B38" s="74">
        <v>2</v>
      </c>
      <c r="C38" s="465" t="s">
        <v>102</v>
      </c>
      <c r="D38" s="466"/>
      <c r="E38" s="466"/>
      <c r="F38" s="466"/>
      <c r="G38" s="475"/>
      <c r="H38" s="243">
        <f>H37*0.08</f>
        <v>3.9814814814814812E-4</v>
      </c>
      <c r="I38" s="116">
        <f>ROUND($I$17*H38,2)</f>
        <v>0</v>
      </c>
      <c r="K38" s="8"/>
    </row>
    <row r="39" spans="2:11">
      <c r="B39" s="74">
        <v>4</v>
      </c>
      <c r="C39" s="467" t="s">
        <v>103</v>
      </c>
      <c r="D39" s="468"/>
      <c r="E39" s="468"/>
      <c r="F39" s="468"/>
      <c r="G39" s="469"/>
      <c r="H39" s="244">
        <f>(7/30/12)*0.9</f>
        <v>1.7500000000000002E-2</v>
      </c>
      <c r="I39" s="116">
        <f>ROUND($I$17*H39,2)</f>
        <v>0.11</v>
      </c>
      <c r="K39" s="8"/>
    </row>
    <row r="40" spans="2:11">
      <c r="B40" s="74">
        <v>5</v>
      </c>
      <c r="C40" s="467" t="s">
        <v>104</v>
      </c>
      <c r="D40" s="468"/>
      <c r="E40" s="468"/>
      <c r="F40" s="468"/>
      <c r="G40" s="469"/>
      <c r="H40" s="244">
        <f>H39*$H$28</f>
        <v>6.4400000000000021E-3</v>
      </c>
      <c r="I40" s="116">
        <f>ROUND($I$17*H40,2)</f>
        <v>0.04</v>
      </c>
      <c r="K40" s="8"/>
    </row>
    <row r="41" spans="2:11">
      <c r="B41" s="74">
        <v>6</v>
      </c>
      <c r="C41" s="467" t="s">
        <v>105</v>
      </c>
      <c r="D41" s="468"/>
      <c r="E41" s="468"/>
      <c r="F41" s="468"/>
      <c r="G41" s="469"/>
      <c r="H41" s="244">
        <v>0.04</v>
      </c>
      <c r="I41" s="116">
        <f>ROUND($I$17*H41,2)</f>
        <v>0.25</v>
      </c>
      <c r="K41" s="8"/>
    </row>
    <row r="42" spans="2:11">
      <c r="B42" s="438" t="s">
        <v>80</v>
      </c>
      <c r="C42" s="470"/>
      <c r="D42" s="470"/>
      <c r="E42" s="470"/>
      <c r="F42" s="470"/>
      <c r="G42" s="471"/>
      <c r="H42" s="128">
        <f>SUM(H37:H41)</f>
        <v>6.9315000000000002E-2</v>
      </c>
      <c r="I42" s="126">
        <f>SUM(I37:I41)</f>
        <v>0.43000000000000005</v>
      </c>
      <c r="K42" s="8"/>
    </row>
    <row r="43" spans="2:11">
      <c r="B43" s="72"/>
      <c r="H43" s="76"/>
      <c r="I43" s="73"/>
      <c r="K43" s="8"/>
    </row>
    <row r="44" spans="2:11">
      <c r="B44" s="438" t="s">
        <v>118</v>
      </c>
      <c r="C44" s="470"/>
      <c r="D44" s="470"/>
      <c r="E44" s="470"/>
      <c r="F44" s="470"/>
      <c r="G44" s="470"/>
      <c r="H44" s="471"/>
      <c r="I44" s="126">
        <f>I17+I28+I34+I42</f>
        <v>10.127647272727273</v>
      </c>
      <c r="K44" s="8"/>
    </row>
    <row r="45" spans="2:11">
      <c r="B45" s="81"/>
      <c r="C45" s="82"/>
      <c r="D45" s="82"/>
      <c r="E45" s="82"/>
      <c r="F45" s="82"/>
      <c r="G45" s="82"/>
      <c r="H45" s="82"/>
      <c r="I45" s="83"/>
      <c r="K45" s="8"/>
    </row>
    <row r="46" spans="2:11">
      <c r="B46" s="439" t="s">
        <v>119</v>
      </c>
      <c r="C46" s="440"/>
      <c r="D46" s="440"/>
      <c r="E46" s="440"/>
      <c r="F46" s="440"/>
      <c r="G46" s="440"/>
      <c r="H46" s="440"/>
      <c r="I46" s="441"/>
      <c r="K46" s="8"/>
    </row>
    <row r="47" spans="2:11">
      <c r="B47" s="112" t="s">
        <v>75</v>
      </c>
      <c r="C47" s="472" t="s">
        <v>120</v>
      </c>
      <c r="D47" s="473"/>
      <c r="E47" s="473"/>
      <c r="F47" s="473"/>
      <c r="G47" s="473"/>
      <c r="H47" s="590"/>
      <c r="I47" s="113" t="s">
        <v>77</v>
      </c>
      <c r="K47" s="8"/>
    </row>
    <row r="48" spans="2:11">
      <c r="B48" s="74">
        <v>1</v>
      </c>
      <c r="C48" s="465" t="s">
        <v>123</v>
      </c>
      <c r="D48" s="466"/>
      <c r="E48" s="466"/>
      <c r="F48" s="466"/>
      <c r="G48" s="466"/>
      <c r="H48" s="297">
        <v>0</v>
      </c>
      <c r="I48" s="241">
        <f>(I44)*H48</f>
        <v>0</v>
      </c>
      <c r="K48" s="8"/>
    </row>
    <row r="49" spans="2:13">
      <c r="B49" s="74">
        <v>2</v>
      </c>
      <c r="C49" s="465" t="s">
        <v>124</v>
      </c>
      <c r="D49" s="466"/>
      <c r="E49" s="466"/>
      <c r="F49" s="466"/>
      <c r="G49" s="466"/>
      <c r="H49" s="297">
        <v>0</v>
      </c>
      <c r="I49" s="241">
        <f>(I44+I48)*H49</f>
        <v>0</v>
      </c>
      <c r="K49" s="8"/>
    </row>
    <row r="50" spans="2:13">
      <c r="B50" s="443" t="s">
        <v>183</v>
      </c>
      <c r="C50" s="424"/>
      <c r="D50" s="424"/>
      <c r="E50" s="424"/>
      <c r="F50" s="424"/>
      <c r="G50" s="424"/>
      <c r="H50" s="424"/>
      <c r="I50" s="125">
        <f>SUM(I48:I49)</f>
        <v>0</v>
      </c>
      <c r="K50" s="8"/>
    </row>
    <row r="51" spans="2:13">
      <c r="B51" s="81"/>
      <c r="C51" s="82"/>
      <c r="D51" s="82"/>
      <c r="E51" s="82"/>
      <c r="F51" s="82"/>
      <c r="G51" s="82"/>
      <c r="H51" s="82"/>
      <c r="I51" s="83"/>
      <c r="K51" s="8"/>
    </row>
    <row r="52" spans="2:13">
      <c r="B52" s="439" t="s">
        <v>133</v>
      </c>
      <c r="C52" s="440"/>
      <c r="D52" s="440"/>
      <c r="E52" s="440"/>
      <c r="F52" s="440"/>
      <c r="G52" s="440"/>
      <c r="H52" s="440"/>
      <c r="I52" s="441"/>
      <c r="K52" s="8"/>
    </row>
    <row r="53" spans="2:13">
      <c r="B53" s="112" t="s">
        <v>75</v>
      </c>
      <c r="C53" s="472" t="s">
        <v>134</v>
      </c>
      <c r="D53" s="473"/>
      <c r="E53" s="473"/>
      <c r="F53" s="473"/>
      <c r="G53" s="474"/>
      <c r="H53" s="108" t="s">
        <v>83</v>
      </c>
      <c r="I53" s="113" t="s">
        <v>77</v>
      </c>
      <c r="K53" s="8"/>
    </row>
    <row r="54" spans="2:13">
      <c r="B54" s="74">
        <v>1</v>
      </c>
      <c r="C54" s="425" t="s">
        <v>135</v>
      </c>
      <c r="D54" s="426"/>
      <c r="E54" s="426"/>
      <c r="F54" s="426"/>
      <c r="G54" s="427"/>
      <c r="H54" s="249">
        <v>7.5999999999999998E-2</v>
      </c>
      <c r="I54" s="116">
        <f>$I$58/$H$58*H54</f>
        <v>0.8959999999999998</v>
      </c>
      <c r="K54" s="8"/>
    </row>
    <row r="55" spans="2:13">
      <c r="B55" s="74">
        <v>2</v>
      </c>
      <c r="C55" s="425" t="s">
        <v>136</v>
      </c>
      <c r="D55" s="426"/>
      <c r="E55" s="426"/>
      <c r="F55" s="426"/>
      <c r="G55" s="427"/>
      <c r="H55" s="249">
        <v>1.6500000000000001E-2</v>
      </c>
      <c r="I55" s="116">
        <f>$I$58/$H$58*H55</f>
        <v>0.19452631578947366</v>
      </c>
      <c r="K55" s="8"/>
    </row>
    <row r="56" spans="2:13">
      <c r="B56" s="74">
        <v>3</v>
      </c>
      <c r="C56" s="425" t="s">
        <v>137</v>
      </c>
      <c r="D56" s="426"/>
      <c r="E56" s="426"/>
      <c r="F56" s="426"/>
      <c r="G56" s="427"/>
      <c r="H56" s="249">
        <v>0.05</v>
      </c>
      <c r="I56" s="116">
        <f>$I$58/$H$58*H56</f>
        <v>0.58947368421052626</v>
      </c>
      <c r="K56" s="8"/>
    </row>
    <row r="57" spans="2:13">
      <c r="B57" s="193">
        <v>4</v>
      </c>
      <c r="C57" s="425" t="s">
        <v>138</v>
      </c>
      <c r="D57" s="426"/>
      <c r="E57" s="426"/>
      <c r="F57" s="426"/>
      <c r="G57" s="427"/>
      <c r="H57" s="249">
        <v>0</v>
      </c>
      <c r="I57" s="116">
        <f>$I$58/$H$58*H57</f>
        <v>0</v>
      </c>
      <c r="K57" s="8"/>
    </row>
    <row r="58" spans="2:13">
      <c r="B58" s="457" t="s">
        <v>80</v>
      </c>
      <c r="C58" s="473"/>
      <c r="D58" s="473"/>
      <c r="E58" s="473"/>
      <c r="F58" s="473"/>
      <c r="G58" s="474"/>
      <c r="H58" s="143">
        <f>SUM(H54:H57)</f>
        <v>0.14250000000000002</v>
      </c>
      <c r="I58" s="144">
        <f>ROUND(((I44+I50)*$H$58)/(1-$H$58),2)</f>
        <v>1.68</v>
      </c>
      <c r="K58" s="8"/>
    </row>
    <row r="59" spans="2:13">
      <c r="B59" s="72"/>
      <c r="H59" s="65"/>
      <c r="I59" s="121"/>
      <c r="K59" s="8"/>
    </row>
    <row r="60" spans="2:13">
      <c r="B60" s="438" t="s">
        <v>184</v>
      </c>
      <c r="C60" s="470"/>
      <c r="D60" s="470"/>
      <c r="E60" s="470"/>
      <c r="F60" s="470"/>
      <c r="G60" s="470"/>
      <c r="H60" s="471"/>
      <c r="I60" s="126">
        <f>I58</f>
        <v>1.68</v>
      </c>
      <c r="K60" s="8"/>
    </row>
    <row r="61" spans="2:13">
      <c r="B61" s="72"/>
      <c r="H61" s="65"/>
      <c r="I61" s="73"/>
      <c r="K61" s="8"/>
    </row>
    <row r="62" spans="2:13">
      <c r="B62" s="439" t="s">
        <v>36</v>
      </c>
      <c r="C62" s="440"/>
      <c r="D62" s="440"/>
      <c r="E62" s="440"/>
      <c r="F62" s="440"/>
      <c r="G62" s="440"/>
      <c r="H62" s="440"/>
      <c r="I62" s="441"/>
      <c r="K62" s="8"/>
    </row>
    <row r="63" spans="2:13">
      <c r="B63" s="72"/>
      <c r="H63" s="65"/>
      <c r="I63" s="73"/>
      <c r="K63" s="8"/>
    </row>
    <row r="64" spans="2:13">
      <c r="B64" s="438" t="s">
        <v>185</v>
      </c>
      <c r="C64" s="470"/>
      <c r="D64" s="470"/>
      <c r="E64" s="470"/>
      <c r="F64" s="470"/>
      <c r="G64" s="470"/>
      <c r="H64" s="471"/>
      <c r="I64" s="126">
        <f>I44+I50+I60</f>
        <v>11.807647272727273</v>
      </c>
      <c r="K64" s="8"/>
      <c r="M64" s="12"/>
    </row>
    <row r="65" spans="2:11">
      <c r="B65" s="78"/>
      <c r="C65" s="79"/>
      <c r="D65" s="79"/>
      <c r="E65" s="79"/>
      <c r="F65" s="79"/>
      <c r="G65" s="79"/>
      <c r="H65" s="80"/>
      <c r="I65" s="121"/>
      <c r="K65" s="8"/>
    </row>
    <row r="66" spans="2:11" ht="15.75" thickBot="1">
      <c r="B66" s="597" t="s">
        <v>186</v>
      </c>
      <c r="C66" s="598"/>
      <c r="D66" s="598"/>
      <c r="E66" s="598"/>
      <c r="F66" s="598"/>
      <c r="G66" s="598"/>
      <c r="H66" s="598"/>
      <c r="I66" s="245">
        <f>I64*20</f>
        <v>236.15294545454546</v>
      </c>
      <c r="K66" s="8"/>
    </row>
    <row r="68" spans="2:11">
      <c r="B68"/>
      <c r="H68"/>
      <c r="I68"/>
    </row>
    <row r="69" spans="2:11" ht="18" customHeight="1">
      <c r="B69"/>
      <c r="H69"/>
      <c r="I69"/>
    </row>
    <row r="70" spans="2:11">
      <c r="B70"/>
      <c r="H70"/>
      <c r="I70"/>
    </row>
    <row r="71" spans="2:11">
      <c r="B71"/>
      <c r="H71"/>
      <c r="I71"/>
    </row>
    <row r="72" spans="2:11">
      <c r="B72"/>
      <c r="H72"/>
      <c r="I72"/>
    </row>
  </sheetData>
  <sheetProtection selectLockedCells="1"/>
  <mergeCells count="48">
    <mergeCell ref="B6:I6"/>
    <mergeCell ref="B8:H8"/>
    <mergeCell ref="B10:I10"/>
    <mergeCell ref="B2:I2"/>
    <mergeCell ref="B5:I5"/>
    <mergeCell ref="C12:H12"/>
    <mergeCell ref="C15:H15"/>
    <mergeCell ref="C16:H16"/>
    <mergeCell ref="B17:H17"/>
    <mergeCell ref="C19:G19"/>
    <mergeCell ref="C14:G14"/>
    <mergeCell ref="C20:G20"/>
    <mergeCell ref="C21:G21"/>
    <mergeCell ref="C22:G22"/>
    <mergeCell ref="C23:G23"/>
    <mergeCell ref="C24:G24"/>
    <mergeCell ref="C37:G37"/>
    <mergeCell ref="C38:G38"/>
    <mergeCell ref="C39:G39"/>
    <mergeCell ref="C40:G40"/>
    <mergeCell ref="C25:G25"/>
    <mergeCell ref="C27:G27"/>
    <mergeCell ref="B28:G28"/>
    <mergeCell ref="C30:G30"/>
    <mergeCell ref="C31:G31"/>
    <mergeCell ref="C32:G32"/>
    <mergeCell ref="C33:G33"/>
    <mergeCell ref="B34:G34"/>
    <mergeCell ref="C36:G36"/>
    <mergeCell ref="B66:H66"/>
    <mergeCell ref="B64:H64"/>
    <mergeCell ref="B50:H50"/>
    <mergeCell ref="B52:I52"/>
    <mergeCell ref="B58:G58"/>
    <mergeCell ref="B60:H60"/>
    <mergeCell ref="B62:I62"/>
    <mergeCell ref="C54:G54"/>
    <mergeCell ref="C55:G55"/>
    <mergeCell ref="C56:G56"/>
    <mergeCell ref="C53:G53"/>
    <mergeCell ref="C57:G57"/>
    <mergeCell ref="C48:G48"/>
    <mergeCell ref="C49:G49"/>
    <mergeCell ref="C41:G41"/>
    <mergeCell ref="B42:G42"/>
    <mergeCell ref="B44:H44"/>
    <mergeCell ref="C47:H47"/>
    <mergeCell ref="B46:I46"/>
  </mergeCells>
  <pageMargins left="0.511811024" right="0.511811024" top="0.78740157499999996" bottom="0.78740157499999996" header="0.31496062000000002" footer="0.31496062000000002"/>
  <pageSetup paperSize="9" scale="83" orientation="portrait" r:id="rId1"/>
  <rowBreaks count="1" manualBreakCount="1">
    <brk id="51" max="8"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M73"/>
  <sheetViews>
    <sheetView zoomScaleNormal="100" workbookViewId="0">
      <selection activeCell="D25" sqref="D25"/>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s>
  <sheetData>
    <row r="1" spans="2:9" ht="15.75" thickBot="1"/>
    <row r="2" spans="2:9">
      <c r="B2" s="491" t="s">
        <v>67</v>
      </c>
      <c r="C2" s="492"/>
      <c r="D2" s="492"/>
      <c r="E2" s="492"/>
      <c r="F2" s="492"/>
      <c r="G2" s="492"/>
      <c r="H2" s="492"/>
      <c r="I2" s="493"/>
    </row>
    <row r="3" spans="2:9">
      <c r="B3" s="64"/>
      <c r="H3" s="65"/>
      <c r="I3" s="66"/>
    </row>
    <row r="4" spans="2:9">
      <c r="B4" s="67"/>
      <c r="C4" s="68"/>
      <c r="D4" s="68"/>
      <c r="E4" s="68"/>
      <c r="F4" s="68"/>
      <c r="G4" s="68"/>
      <c r="H4" s="69"/>
      <c r="I4" s="70"/>
    </row>
    <row r="5" spans="2:9">
      <c r="B5" s="434" t="s">
        <v>68</v>
      </c>
      <c r="C5" s="435"/>
      <c r="D5" s="435"/>
      <c r="E5" s="435"/>
      <c r="F5" s="435"/>
      <c r="G5" s="435"/>
      <c r="H5" s="435"/>
      <c r="I5" s="436"/>
    </row>
    <row r="6" spans="2:9">
      <c r="B6" s="455" t="s">
        <v>171</v>
      </c>
      <c r="C6" s="437"/>
      <c r="D6" s="437"/>
      <c r="E6" s="437"/>
      <c r="F6" s="437"/>
      <c r="G6" s="437"/>
      <c r="H6" s="437"/>
      <c r="I6" s="456"/>
    </row>
    <row r="7" spans="2:9">
      <c r="B7" s="67"/>
      <c r="C7" s="68"/>
      <c r="D7" s="68"/>
      <c r="E7" s="68"/>
      <c r="F7" s="68"/>
      <c r="G7" s="68"/>
      <c r="H7" s="69"/>
      <c r="I7" s="70"/>
    </row>
    <row r="8" spans="2:9">
      <c r="B8" s="442" t="s">
        <v>178</v>
      </c>
      <c r="C8" s="489"/>
      <c r="D8" s="489"/>
      <c r="E8" s="489"/>
      <c r="F8" s="489"/>
      <c r="G8" s="489"/>
      <c r="H8" s="490"/>
      <c r="I8" s="71">
        <f>'2 - Motorista 1 - Automóvel'!I11</f>
        <v>0</v>
      </c>
    </row>
    <row r="9" spans="2:9">
      <c r="B9" s="72"/>
      <c r="H9" s="65"/>
      <c r="I9" s="73"/>
    </row>
    <row r="10" spans="2:9">
      <c r="B10" s="439" t="s">
        <v>74</v>
      </c>
      <c r="C10" s="440"/>
      <c r="D10" s="440"/>
      <c r="E10" s="440"/>
      <c r="F10" s="440"/>
      <c r="G10" s="440"/>
      <c r="H10" s="440"/>
      <c r="I10" s="441"/>
    </row>
    <row r="11" spans="2:9">
      <c r="B11" s="72"/>
      <c r="H11" s="65"/>
      <c r="I11" s="73"/>
    </row>
    <row r="12" spans="2:9">
      <c r="B12" s="112" t="s">
        <v>75</v>
      </c>
      <c r="C12" s="472" t="s">
        <v>76</v>
      </c>
      <c r="D12" s="473"/>
      <c r="E12" s="473"/>
      <c r="F12" s="473"/>
      <c r="G12" s="473"/>
      <c r="H12" s="474"/>
      <c r="I12" s="113" t="s">
        <v>77</v>
      </c>
    </row>
    <row r="13" spans="2:9">
      <c r="B13" s="74">
        <v>1</v>
      </c>
      <c r="C13" s="584" t="s">
        <v>187</v>
      </c>
      <c r="D13" s="585"/>
      <c r="E13" s="585"/>
      <c r="F13" s="585"/>
      <c r="G13" s="585"/>
      <c r="H13" s="586"/>
      <c r="I13" s="116">
        <f>ROUND(I8/220,2)</f>
        <v>0</v>
      </c>
    </row>
    <row r="14" spans="2:9">
      <c r="B14" s="136">
        <v>2</v>
      </c>
      <c r="C14" s="584" t="s">
        <v>188</v>
      </c>
      <c r="D14" s="585"/>
      <c r="E14" s="585"/>
      <c r="F14" s="585"/>
      <c r="G14" s="585"/>
      <c r="H14" s="586"/>
      <c r="I14" s="116">
        <f>I13*0.5</f>
        <v>0</v>
      </c>
    </row>
    <row r="15" spans="2:9">
      <c r="B15" s="177">
        <v>3</v>
      </c>
      <c r="C15" s="571" t="s">
        <v>189</v>
      </c>
      <c r="D15" s="572"/>
      <c r="E15" s="572"/>
      <c r="F15" s="572"/>
      <c r="G15" s="572"/>
      <c r="H15" s="573"/>
      <c r="I15" s="246">
        <f>((I13+I14)*(5/25))</f>
        <v>0</v>
      </c>
    </row>
    <row r="16" spans="2:9">
      <c r="B16" s="442" t="s">
        <v>80</v>
      </c>
      <c r="C16" s="489"/>
      <c r="D16" s="489"/>
      <c r="E16" s="489"/>
      <c r="F16" s="489"/>
      <c r="G16" s="489"/>
      <c r="H16" s="490"/>
      <c r="I16" s="114">
        <f>SUM(I13:I15)</f>
        <v>0</v>
      </c>
    </row>
    <row r="17" spans="2:11">
      <c r="B17" s="72"/>
      <c r="H17" s="76"/>
      <c r="I17" s="73"/>
    </row>
    <row r="18" spans="2:11">
      <c r="B18" s="112" t="s">
        <v>81</v>
      </c>
      <c r="C18" s="472" t="s">
        <v>82</v>
      </c>
      <c r="D18" s="473"/>
      <c r="E18" s="473"/>
      <c r="F18" s="473"/>
      <c r="G18" s="474"/>
      <c r="H18" s="108" t="s">
        <v>83</v>
      </c>
      <c r="I18" s="113" t="s">
        <v>77</v>
      </c>
    </row>
    <row r="19" spans="2:11">
      <c r="B19" s="74">
        <v>1</v>
      </c>
      <c r="C19" s="425" t="s">
        <v>84</v>
      </c>
      <c r="D19" s="426"/>
      <c r="E19" s="426"/>
      <c r="F19" s="426"/>
      <c r="G19" s="427"/>
      <c r="H19" s="249">
        <v>0.2</v>
      </c>
      <c r="I19" s="116">
        <f>ROUND($I$16*H19,2)</f>
        <v>0</v>
      </c>
    </row>
    <row r="20" spans="2:11">
      <c r="B20" s="74">
        <v>2</v>
      </c>
      <c r="C20" s="425" t="s">
        <v>85</v>
      </c>
      <c r="D20" s="426"/>
      <c r="E20" s="426"/>
      <c r="F20" s="426"/>
      <c r="G20" s="427"/>
      <c r="H20" s="249">
        <v>1.4999999999999999E-2</v>
      </c>
      <c r="I20" s="116">
        <f t="shared" ref="I20:I26" si="0">ROUND($I$16*H20,2)</f>
        <v>0</v>
      </c>
    </row>
    <row r="21" spans="2:11">
      <c r="B21" s="74">
        <v>3</v>
      </c>
      <c r="C21" s="425" t="s">
        <v>86</v>
      </c>
      <c r="D21" s="426"/>
      <c r="E21" s="426"/>
      <c r="F21" s="426"/>
      <c r="G21" s="427"/>
      <c r="H21" s="249">
        <v>0.01</v>
      </c>
      <c r="I21" s="116">
        <f t="shared" si="0"/>
        <v>0</v>
      </c>
    </row>
    <row r="22" spans="2:11">
      <c r="B22" s="74">
        <v>4</v>
      </c>
      <c r="C22" s="425" t="s">
        <v>87</v>
      </c>
      <c r="D22" s="426"/>
      <c r="E22" s="426"/>
      <c r="F22" s="426"/>
      <c r="G22" s="427"/>
      <c r="H22" s="249">
        <v>2E-3</v>
      </c>
      <c r="I22" s="116">
        <f t="shared" si="0"/>
        <v>0</v>
      </c>
    </row>
    <row r="23" spans="2:11">
      <c r="B23" s="74">
        <v>5</v>
      </c>
      <c r="C23" s="425" t="s">
        <v>88</v>
      </c>
      <c r="D23" s="426"/>
      <c r="E23" s="426"/>
      <c r="F23" s="426"/>
      <c r="G23" s="427"/>
      <c r="H23" s="249">
        <v>2.5000000000000001E-2</v>
      </c>
      <c r="I23" s="116">
        <f t="shared" si="0"/>
        <v>0</v>
      </c>
    </row>
    <row r="24" spans="2:11">
      <c r="B24" s="74">
        <v>6</v>
      </c>
      <c r="C24" s="425" t="s">
        <v>89</v>
      </c>
      <c r="D24" s="426"/>
      <c r="E24" s="426"/>
      <c r="F24" s="426"/>
      <c r="G24" s="427"/>
      <c r="H24" s="249">
        <v>0.08</v>
      </c>
      <c r="I24" s="116">
        <f t="shared" si="0"/>
        <v>0</v>
      </c>
    </row>
    <row r="25" spans="2:11">
      <c r="B25" s="74">
        <v>7</v>
      </c>
      <c r="C25" s="1" t="s">
        <v>90</v>
      </c>
      <c r="D25" s="305" t="s">
        <v>91</v>
      </c>
      <c r="E25" s="306">
        <v>0.03</v>
      </c>
      <c r="F25" s="305" t="s">
        <v>92</v>
      </c>
      <c r="G25" s="307">
        <v>1</v>
      </c>
      <c r="H25" s="249">
        <f>E25*G25</f>
        <v>0.03</v>
      </c>
      <c r="I25" s="116">
        <f t="shared" si="0"/>
        <v>0</v>
      </c>
    </row>
    <row r="26" spans="2:11">
      <c r="B26" s="74">
        <v>8</v>
      </c>
      <c r="C26" s="425" t="s">
        <v>93</v>
      </c>
      <c r="D26" s="426"/>
      <c r="E26" s="426"/>
      <c r="F26" s="426"/>
      <c r="G26" s="427"/>
      <c r="H26" s="249">
        <v>6.0000000000000001E-3</v>
      </c>
      <c r="I26" s="116">
        <f t="shared" si="0"/>
        <v>0</v>
      </c>
    </row>
    <row r="27" spans="2:11">
      <c r="B27" s="442" t="s">
        <v>80</v>
      </c>
      <c r="C27" s="489"/>
      <c r="D27" s="489"/>
      <c r="E27" s="489"/>
      <c r="F27" s="489"/>
      <c r="G27" s="490"/>
      <c r="H27" s="6">
        <f>SUM(H19:H26)</f>
        <v>0.3680000000000001</v>
      </c>
      <c r="I27" s="114">
        <f>SUM(I19:I26)</f>
        <v>0</v>
      </c>
    </row>
    <row r="28" spans="2:11">
      <c r="B28" s="72"/>
      <c r="H28" s="76"/>
      <c r="I28" s="73"/>
    </row>
    <row r="29" spans="2:11">
      <c r="B29" s="112" t="s">
        <v>94</v>
      </c>
      <c r="C29" s="472" t="s">
        <v>95</v>
      </c>
      <c r="D29" s="473"/>
      <c r="E29" s="473"/>
      <c r="F29" s="473"/>
      <c r="G29" s="474"/>
      <c r="H29" s="108" t="s">
        <v>83</v>
      </c>
      <c r="I29" s="113" t="s">
        <v>77</v>
      </c>
    </row>
    <row r="30" spans="2:11">
      <c r="B30" s="74">
        <v>1</v>
      </c>
      <c r="C30" s="465" t="s">
        <v>96</v>
      </c>
      <c r="D30" s="466"/>
      <c r="E30" s="466"/>
      <c r="F30" s="466"/>
      <c r="G30" s="475"/>
      <c r="H30" s="225">
        <f>ROUND(1/12,4)</f>
        <v>8.3299999999999999E-2</v>
      </c>
      <c r="I30" s="116">
        <f>ROUND($I$16*H30,2)</f>
        <v>0</v>
      </c>
    </row>
    <row r="31" spans="2:11">
      <c r="B31" s="74">
        <v>2</v>
      </c>
      <c r="C31" s="467" t="s">
        <v>97</v>
      </c>
      <c r="D31" s="468"/>
      <c r="E31" s="468"/>
      <c r="F31" s="468"/>
      <c r="G31" s="469"/>
      <c r="H31" s="231">
        <v>3.0249999999999999E-2</v>
      </c>
      <c r="I31" s="116">
        <f>ROUND($I$16*H31,2)</f>
        <v>0</v>
      </c>
    </row>
    <row r="32" spans="2:11">
      <c r="B32" s="74">
        <v>3</v>
      </c>
      <c r="C32" s="467" t="s">
        <v>98</v>
      </c>
      <c r="D32" s="468"/>
      <c r="E32" s="468"/>
      <c r="F32" s="468"/>
      <c r="G32" s="469"/>
      <c r="H32" s="232">
        <f>ROUND((H30+H31)*H27,4)</f>
        <v>4.1799999999999997E-2</v>
      </c>
      <c r="I32" s="116">
        <f>ROUND($I$16*H32,2)</f>
        <v>0</v>
      </c>
      <c r="K32" s="7"/>
    </row>
    <row r="33" spans="2:11">
      <c r="B33" s="442" t="s">
        <v>80</v>
      </c>
      <c r="C33" s="489"/>
      <c r="D33" s="489"/>
      <c r="E33" s="489"/>
      <c r="F33" s="489"/>
      <c r="G33" s="490"/>
      <c r="H33" s="6">
        <f>SUM(H30:H32)</f>
        <v>0.15534999999999999</v>
      </c>
      <c r="I33" s="114">
        <f>SUM(I30:I32)</f>
        <v>0</v>
      </c>
    </row>
    <row r="34" spans="2:11">
      <c r="B34" s="72"/>
      <c r="H34" s="76"/>
      <c r="I34" s="73"/>
    </row>
    <row r="35" spans="2:11">
      <c r="B35" s="112" t="s">
        <v>99</v>
      </c>
      <c r="C35" s="472" t="s">
        <v>100</v>
      </c>
      <c r="D35" s="473"/>
      <c r="E35" s="473"/>
      <c r="F35" s="473"/>
      <c r="G35" s="474"/>
      <c r="H35" s="140" t="s">
        <v>83</v>
      </c>
      <c r="I35" s="113" t="s">
        <v>77</v>
      </c>
    </row>
    <row r="36" spans="2:11">
      <c r="B36" s="130">
        <v>1</v>
      </c>
      <c r="C36" s="467" t="s">
        <v>101</v>
      </c>
      <c r="D36" s="468"/>
      <c r="E36" s="468"/>
      <c r="F36" s="468"/>
      <c r="G36" s="469"/>
      <c r="H36" s="243">
        <f>(1+(1/12)+(1/12)+(1/12/3))/12*0.05</f>
        <v>4.9768518518518512E-3</v>
      </c>
      <c r="I36" s="116">
        <f>ROUND($I$16*H36,2)</f>
        <v>0</v>
      </c>
      <c r="K36" s="8"/>
    </row>
    <row r="37" spans="2:11">
      <c r="B37" s="142">
        <v>2</v>
      </c>
      <c r="C37" s="465" t="s">
        <v>102</v>
      </c>
      <c r="D37" s="466"/>
      <c r="E37" s="466"/>
      <c r="F37" s="466"/>
      <c r="G37" s="475"/>
      <c r="H37" s="243">
        <f>H36*0.08</f>
        <v>3.9814814814814812E-4</v>
      </c>
      <c r="I37" s="116">
        <f>ROUND($I$16*H37,2)</f>
        <v>0</v>
      </c>
      <c r="K37" s="8"/>
    </row>
    <row r="38" spans="2:11">
      <c r="B38" s="130">
        <v>3</v>
      </c>
      <c r="C38" s="467" t="s">
        <v>103</v>
      </c>
      <c r="D38" s="468"/>
      <c r="E38" s="468"/>
      <c r="F38" s="468"/>
      <c r="G38" s="469"/>
      <c r="H38" s="244">
        <f>(7/30/12)*0.9</f>
        <v>1.7500000000000002E-2</v>
      </c>
      <c r="I38" s="116">
        <f>ROUND($I$16*H38,2)</f>
        <v>0</v>
      </c>
      <c r="K38" s="8"/>
    </row>
    <row r="39" spans="2:11">
      <c r="B39" s="130">
        <v>4</v>
      </c>
      <c r="C39" s="467" t="s">
        <v>104</v>
      </c>
      <c r="D39" s="468"/>
      <c r="E39" s="468"/>
      <c r="F39" s="468"/>
      <c r="G39" s="469"/>
      <c r="H39" s="244">
        <f>H38*$H$27</f>
        <v>6.4400000000000021E-3</v>
      </c>
      <c r="I39" s="116">
        <f>ROUND($I$16*H39,2)</f>
        <v>0</v>
      </c>
      <c r="K39" s="8"/>
    </row>
    <row r="40" spans="2:11">
      <c r="B40" s="130">
        <v>5</v>
      </c>
      <c r="C40" s="467" t="s">
        <v>105</v>
      </c>
      <c r="D40" s="468"/>
      <c r="E40" s="468"/>
      <c r="F40" s="468"/>
      <c r="G40" s="469"/>
      <c r="H40" s="244">
        <v>0.04</v>
      </c>
      <c r="I40" s="116">
        <f>ROUND($I$16*H40,2)</f>
        <v>0</v>
      </c>
      <c r="K40" s="8"/>
    </row>
    <row r="41" spans="2:11">
      <c r="B41" s="442" t="s">
        <v>80</v>
      </c>
      <c r="C41" s="489"/>
      <c r="D41" s="489"/>
      <c r="E41" s="489"/>
      <c r="F41" s="489"/>
      <c r="G41" s="490"/>
      <c r="H41" s="6">
        <f>SUM(H36:H40)</f>
        <v>6.9315000000000002E-2</v>
      </c>
      <c r="I41" s="114">
        <f>SUM(I36:I40)</f>
        <v>0</v>
      </c>
      <c r="K41" s="8"/>
    </row>
    <row r="42" spans="2:11">
      <c r="B42" s="72"/>
      <c r="H42" s="76"/>
      <c r="I42" s="73"/>
      <c r="K42" s="8"/>
    </row>
    <row r="43" spans="2:11">
      <c r="B43" s="442" t="s">
        <v>190</v>
      </c>
      <c r="C43" s="489"/>
      <c r="D43" s="489"/>
      <c r="E43" s="489"/>
      <c r="F43" s="489"/>
      <c r="G43" s="489"/>
      <c r="H43" s="490"/>
      <c r="I43" s="75">
        <f>I16+I27+I33+I41</f>
        <v>0</v>
      </c>
      <c r="K43" s="8"/>
    </row>
    <row r="44" spans="2:11">
      <c r="B44" s="81"/>
      <c r="C44" s="82"/>
      <c r="D44" s="82"/>
      <c r="E44" s="82"/>
      <c r="F44" s="82"/>
      <c r="G44" s="82"/>
      <c r="H44" s="82"/>
      <c r="I44" s="83"/>
      <c r="K44" s="8"/>
    </row>
    <row r="45" spans="2:11">
      <c r="B45" s="439" t="s">
        <v>119</v>
      </c>
      <c r="C45" s="440"/>
      <c r="D45" s="440"/>
      <c r="E45" s="440"/>
      <c r="F45" s="440"/>
      <c r="G45" s="440"/>
      <c r="H45" s="440"/>
      <c r="I45" s="441"/>
      <c r="K45" s="8"/>
    </row>
    <row r="46" spans="2:11">
      <c r="B46" s="72"/>
      <c r="H46" s="65"/>
      <c r="I46" s="73"/>
      <c r="K46" s="8"/>
    </row>
    <row r="47" spans="2:11">
      <c r="B47" s="112" t="s">
        <v>75</v>
      </c>
      <c r="C47" s="472" t="s">
        <v>120</v>
      </c>
      <c r="D47" s="473"/>
      <c r="E47" s="473"/>
      <c r="F47" s="473"/>
      <c r="G47" s="473"/>
      <c r="H47" s="590"/>
      <c r="I47" s="113" t="s">
        <v>77</v>
      </c>
      <c r="K47" s="8"/>
    </row>
    <row r="48" spans="2:11">
      <c r="B48" s="74">
        <v>1</v>
      </c>
      <c r="C48" s="465" t="s">
        <v>123</v>
      </c>
      <c r="D48" s="466"/>
      <c r="E48" s="466"/>
      <c r="F48" s="466"/>
      <c r="G48" s="466"/>
      <c r="H48" s="297">
        <v>0</v>
      </c>
      <c r="I48" s="241">
        <f>(I43)*H48</f>
        <v>0</v>
      </c>
      <c r="K48" s="8"/>
    </row>
    <row r="49" spans="2:11">
      <c r="B49" s="74">
        <v>2</v>
      </c>
      <c r="C49" s="465" t="s">
        <v>124</v>
      </c>
      <c r="D49" s="466"/>
      <c r="E49" s="466"/>
      <c r="F49" s="466"/>
      <c r="G49" s="466"/>
      <c r="H49" s="297">
        <v>0</v>
      </c>
      <c r="I49" s="241">
        <f>(I43+I48)*H49</f>
        <v>0</v>
      </c>
      <c r="K49" s="8"/>
    </row>
    <row r="50" spans="2:11">
      <c r="B50" s="72"/>
      <c r="C50" s="79"/>
      <c r="D50" s="79"/>
      <c r="E50" s="79"/>
      <c r="F50" s="79"/>
      <c r="G50" s="79"/>
      <c r="H50"/>
      <c r="I50" s="121"/>
      <c r="K50" s="8"/>
    </row>
    <row r="51" spans="2:11">
      <c r="B51" s="434" t="s">
        <v>191</v>
      </c>
      <c r="C51" s="435"/>
      <c r="D51" s="435"/>
      <c r="E51" s="435"/>
      <c r="F51" s="435"/>
      <c r="G51" s="435"/>
      <c r="H51" s="435"/>
      <c r="I51" s="114">
        <f>SUM(I48:I49)</f>
        <v>0</v>
      </c>
      <c r="K51" s="8"/>
    </row>
    <row r="52" spans="2:11">
      <c r="B52" s="81"/>
      <c r="C52" s="82"/>
      <c r="D52" s="82"/>
      <c r="E52" s="82"/>
      <c r="F52" s="82"/>
      <c r="G52" s="82"/>
      <c r="H52" s="82"/>
      <c r="I52" s="83"/>
      <c r="K52" s="8"/>
    </row>
    <row r="53" spans="2:11">
      <c r="B53" s="439" t="s">
        <v>133</v>
      </c>
      <c r="C53" s="440"/>
      <c r="D53" s="440"/>
      <c r="E53" s="440"/>
      <c r="F53" s="440"/>
      <c r="G53" s="440"/>
      <c r="H53" s="440"/>
      <c r="I53" s="441"/>
      <c r="K53" s="8"/>
    </row>
    <row r="54" spans="2:11">
      <c r="B54" s="72"/>
      <c r="H54" s="65"/>
      <c r="I54" s="73"/>
      <c r="K54" s="8"/>
    </row>
    <row r="55" spans="2:11">
      <c r="B55" s="112" t="s">
        <v>75</v>
      </c>
      <c r="C55" s="472" t="s">
        <v>134</v>
      </c>
      <c r="D55" s="473"/>
      <c r="E55" s="473"/>
      <c r="F55" s="473"/>
      <c r="G55" s="474"/>
      <c r="H55" s="108" t="s">
        <v>83</v>
      </c>
      <c r="I55" s="113" t="s">
        <v>77</v>
      </c>
      <c r="K55" s="8"/>
    </row>
    <row r="56" spans="2:11">
      <c r="B56" s="74">
        <v>1</v>
      </c>
      <c r="C56" s="425" t="s">
        <v>135</v>
      </c>
      <c r="D56" s="426"/>
      <c r="E56" s="426"/>
      <c r="F56" s="426"/>
      <c r="G56" s="427"/>
      <c r="H56" s="249">
        <v>7.5999999999999998E-2</v>
      </c>
      <c r="I56" s="116">
        <f>$I$60/$H$60*H56</f>
        <v>0</v>
      </c>
      <c r="K56" s="8"/>
    </row>
    <row r="57" spans="2:11">
      <c r="B57" s="74">
        <v>2</v>
      </c>
      <c r="C57" s="425" t="s">
        <v>136</v>
      </c>
      <c r="D57" s="426"/>
      <c r="E57" s="426"/>
      <c r="F57" s="426"/>
      <c r="G57" s="427"/>
      <c r="H57" s="249">
        <v>1.6500000000000001E-2</v>
      </c>
      <c r="I57" s="116">
        <f>$I$60/$H$60*H57</f>
        <v>0</v>
      </c>
      <c r="K57" s="8"/>
    </row>
    <row r="58" spans="2:11">
      <c r="B58" s="74">
        <v>3</v>
      </c>
      <c r="C58" s="425" t="s">
        <v>137</v>
      </c>
      <c r="D58" s="426"/>
      <c r="E58" s="426"/>
      <c r="F58" s="426"/>
      <c r="G58" s="427"/>
      <c r="H58" s="249">
        <v>0.05</v>
      </c>
      <c r="I58" s="116">
        <f>$I$60/$H$60*H58</f>
        <v>0</v>
      </c>
      <c r="K58" s="8"/>
    </row>
    <row r="59" spans="2:11">
      <c r="B59" s="193">
        <v>4</v>
      </c>
      <c r="C59" s="425" t="s">
        <v>138</v>
      </c>
      <c r="D59" s="426"/>
      <c r="E59" s="426"/>
      <c r="F59" s="426"/>
      <c r="G59" s="427"/>
      <c r="H59" s="249">
        <v>0</v>
      </c>
      <c r="I59" s="116">
        <f>$I$60/$H$60*H59</f>
        <v>0</v>
      </c>
      <c r="K59" s="8"/>
    </row>
    <row r="60" spans="2:11">
      <c r="B60" s="442" t="s">
        <v>80</v>
      </c>
      <c r="C60" s="489"/>
      <c r="D60" s="489"/>
      <c r="E60" s="489"/>
      <c r="F60" s="489"/>
      <c r="G60" s="490"/>
      <c r="H60" s="4">
        <f>SUM(H56:H59)</f>
        <v>0.14250000000000002</v>
      </c>
      <c r="I60" s="114">
        <f>ROUND(((I43+I51)*$H$60)/(1-$H$60),2)</f>
        <v>0</v>
      </c>
      <c r="K60" s="8"/>
    </row>
    <row r="61" spans="2:11">
      <c r="B61" s="72"/>
      <c r="H61" s="65"/>
      <c r="I61" s="73"/>
      <c r="K61" s="8"/>
    </row>
    <row r="62" spans="2:11">
      <c r="B62" s="442" t="s">
        <v>192</v>
      </c>
      <c r="C62" s="489"/>
      <c r="D62" s="489"/>
      <c r="E62" s="489"/>
      <c r="F62" s="489"/>
      <c r="G62" s="489"/>
      <c r="H62" s="490"/>
      <c r="I62" s="114">
        <f>I60</f>
        <v>0</v>
      </c>
      <c r="K62" s="8"/>
    </row>
    <row r="63" spans="2:11">
      <c r="B63" s="72"/>
      <c r="H63" s="65"/>
      <c r="I63" s="73"/>
      <c r="K63" s="8"/>
    </row>
    <row r="64" spans="2:11">
      <c r="B64" s="439" t="s">
        <v>36</v>
      </c>
      <c r="C64" s="440"/>
      <c r="D64" s="440"/>
      <c r="E64" s="440"/>
      <c r="F64" s="440"/>
      <c r="G64" s="440"/>
      <c r="H64" s="440"/>
      <c r="I64" s="441"/>
      <c r="K64" s="8"/>
    </row>
    <row r="65" spans="2:13">
      <c r="B65" s="72"/>
      <c r="H65" s="65"/>
      <c r="I65" s="73"/>
      <c r="K65" s="8"/>
    </row>
    <row r="66" spans="2:13">
      <c r="B66" s="442" t="s">
        <v>193</v>
      </c>
      <c r="C66" s="489"/>
      <c r="D66" s="489"/>
      <c r="E66" s="489"/>
      <c r="F66" s="489"/>
      <c r="G66" s="489"/>
      <c r="H66" s="490"/>
      <c r="I66" s="114">
        <f>I43+I51+I62</f>
        <v>0</v>
      </c>
      <c r="K66" s="8"/>
      <c r="M66" s="12"/>
    </row>
    <row r="67" spans="2:13">
      <c r="B67" s="78"/>
      <c r="C67" s="79"/>
      <c r="D67" s="79"/>
      <c r="E67" s="79"/>
      <c r="F67" s="79"/>
      <c r="G67" s="79"/>
      <c r="H67" s="80"/>
      <c r="I67" s="121"/>
      <c r="K67" s="8"/>
    </row>
    <row r="68" spans="2:13">
      <c r="B68" s="599" t="s">
        <v>186</v>
      </c>
      <c r="C68" s="600"/>
      <c r="D68" s="600"/>
      <c r="E68" s="600"/>
      <c r="F68" s="600"/>
      <c r="G68" s="600"/>
      <c r="H68" s="600"/>
      <c r="I68" s="114">
        <f>I66*20</f>
        <v>0</v>
      </c>
      <c r="K68" s="8"/>
    </row>
    <row r="69" spans="2:13">
      <c r="B69" s="72"/>
      <c r="H69" s="65"/>
      <c r="I69" s="121"/>
    </row>
    <row r="70" spans="2:13" ht="15.75" thickBot="1">
      <c r="B70" s="494" t="s">
        <v>194</v>
      </c>
      <c r="C70" s="495"/>
      <c r="D70" s="495"/>
      <c r="E70" s="495"/>
      <c r="F70" s="495"/>
      <c r="G70" s="495"/>
      <c r="H70" s="495"/>
      <c r="I70" s="247">
        <f>I68*1</f>
        <v>0</v>
      </c>
    </row>
    <row r="71" spans="2:13">
      <c r="E71" s="394"/>
      <c r="F71" s="394"/>
      <c r="G71" s="394"/>
      <c r="H71" s="394"/>
      <c r="I71" s="394"/>
    </row>
    <row r="72" spans="2:13" ht="18">
      <c r="E72" s="395"/>
      <c r="F72" s="395"/>
      <c r="G72" s="396"/>
      <c r="H72" s="396"/>
      <c r="I72" s="396"/>
    </row>
    <row r="73" spans="2:13">
      <c r="B73" s="397"/>
      <c r="C73" s="397"/>
      <c r="D73" s="397"/>
      <c r="E73" s="397"/>
      <c r="F73" s="397"/>
      <c r="G73" s="397"/>
    </row>
  </sheetData>
  <sheetProtection selectLockedCells="1"/>
  <mergeCells count="54">
    <mergeCell ref="B73:G73"/>
    <mergeCell ref="B2:I2"/>
    <mergeCell ref="B5:I5"/>
    <mergeCell ref="B6:I6"/>
    <mergeCell ref="B8:H8"/>
    <mergeCell ref="B10:I10"/>
    <mergeCell ref="C12:H12"/>
    <mergeCell ref="C13:H13"/>
    <mergeCell ref="C14:H14"/>
    <mergeCell ref="C15:H15"/>
    <mergeCell ref="B16:H16"/>
    <mergeCell ref="C18:G18"/>
    <mergeCell ref="C19:G19"/>
    <mergeCell ref="C20:G20"/>
    <mergeCell ref="C21:G21"/>
    <mergeCell ref="C22:G22"/>
    <mergeCell ref="C23:G23"/>
    <mergeCell ref="C24:G24"/>
    <mergeCell ref="C26:G26"/>
    <mergeCell ref="B27:G27"/>
    <mergeCell ref="C29:G29"/>
    <mergeCell ref="C36:G36"/>
    <mergeCell ref="C37:G37"/>
    <mergeCell ref="C38:G38"/>
    <mergeCell ref="C39:G39"/>
    <mergeCell ref="C30:G30"/>
    <mergeCell ref="C31:G31"/>
    <mergeCell ref="C32:G32"/>
    <mergeCell ref="B33:G33"/>
    <mergeCell ref="C35:G35"/>
    <mergeCell ref="C40:G40"/>
    <mergeCell ref="B41:G41"/>
    <mergeCell ref="B43:H43"/>
    <mergeCell ref="B45:I45"/>
    <mergeCell ref="B70:H70"/>
    <mergeCell ref="C47:H47"/>
    <mergeCell ref="B51:H51"/>
    <mergeCell ref="B53:I53"/>
    <mergeCell ref="C55:G55"/>
    <mergeCell ref="C56:G56"/>
    <mergeCell ref="C57:G57"/>
    <mergeCell ref="C58:G58"/>
    <mergeCell ref="C48:G48"/>
    <mergeCell ref="C49:G49"/>
    <mergeCell ref="C59:G59"/>
    <mergeCell ref="E71:F71"/>
    <mergeCell ref="G71:I71"/>
    <mergeCell ref="E72:F72"/>
    <mergeCell ref="G72:I72"/>
    <mergeCell ref="B60:G60"/>
    <mergeCell ref="B62:H62"/>
    <mergeCell ref="B64:I64"/>
    <mergeCell ref="B66:H66"/>
    <mergeCell ref="B68:H68"/>
  </mergeCells>
  <pageMargins left="0.511811024" right="0.511811024" top="0.78740157499999996" bottom="0.78740157499999996" header="0.31496062000000002" footer="0.31496062000000002"/>
  <pageSetup paperSize="9" scale="83" orientation="portrait" r:id="rId1"/>
  <rowBreaks count="1" manualBreakCount="1">
    <brk id="52" max="8" man="1"/>
  </rowBreaks>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1DE26A9591F5149BC9F243DF9FC5024" ma:contentTypeVersion="13" ma:contentTypeDescription="Crie um novo documento." ma:contentTypeScope="" ma:versionID="b5672935332c00aca53c6082cf11544f">
  <xsd:schema xmlns:xsd="http://www.w3.org/2001/XMLSchema" xmlns:xs="http://www.w3.org/2001/XMLSchema" xmlns:p="http://schemas.microsoft.com/office/2006/metadata/properties" xmlns:ns3="a46b197d-9c77-4c6a-adc1-45e4025fa553" xmlns:ns4="6ddb84c3-f33f-45b3-8534-ec76f6d0de02" targetNamespace="http://schemas.microsoft.com/office/2006/metadata/properties" ma:root="true" ma:fieldsID="63dd73a11a4f8d07572f2d97818c13cd" ns3:_="" ns4:_="">
    <xsd:import namespace="a46b197d-9c77-4c6a-adc1-45e4025fa553"/>
    <xsd:import namespace="6ddb84c3-f33f-45b3-8534-ec76f6d0de0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MediaServiceDateTaken"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b197d-9c77-4c6a-adc1-45e4025fa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db84c3-f33f-45b3-8534-ec76f6d0de02"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SharingHintHash" ma:index="16"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46b197d-9c77-4c6a-adc1-45e4025fa553" xsi:nil="true"/>
  </documentManagement>
</p:properties>
</file>

<file path=customXml/itemProps1.xml><?xml version="1.0" encoding="utf-8"?>
<ds:datastoreItem xmlns:ds="http://schemas.openxmlformats.org/officeDocument/2006/customXml" ds:itemID="{C4106F11-7407-4600-84CE-C18A4FBE6A3F}"/>
</file>

<file path=customXml/itemProps2.xml><?xml version="1.0" encoding="utf-8"?>
<ds:datastoreItem xmlns:ds="http://schemas.openxmlformats.org/officeDocument/2006/customXml" ds:itemID="{D05F0E82-C3B7-4204-9CB0-8B15ABDB3C97}"/>
</file>

<file path=customXml/itemProps3.xml><?xml version="1.0" encoding="utf-8"?>
<ds:datastoreItem xmlns:ds="http://schemas.openxmlformats.org/officeDocument/2006/customXml" ds:itemID="{950D6EE4-1554-423F-B8C3-AD2C5D04290D}"/>
</file>

<file path=docProps/app.xml><?xml version="1.0" encoding="utf-8"?>
<Properties xmlns="http://schemas.openxmlformats.org/officeDocument/2006/extended-properties" xmlns:vt="http://schemas.openxmlformats.org/officeDocument/2006/docPropsVTypes">
  <Application>Microsoft Excel Online</Application>
  <Manager/>
  <Company>Ministério Público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Procuradoria Geral de Justiça</dc:creator>
  <cp:keywords/>
  <dc:description/>
  <cp:lastModifiedBy/>
  <cp:revision/>
  <dcterms:created xsi:type="dcterms:W3CDTF">2019-04-12T15:58:26Z</dcterms:created>
  <dcterms:modified xsi:type="dcterms:W3CDTF">2026-02-26T17:02:33Z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0x01010071DE26A9591F5149BC9F243DF9FC5024</vt:lpwstr>
  </property>
</Properties>
</file>